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3\"/>
    </mc:Choice>
  </mc:AlternateContent>
  <workbookProtection lockStructure="1"/>
  <bookViews>
    <workbookView xWindow="-120" yWindow="-120" windowWidth="29040" windowHeight="15720"/>
  </bookViews>
  <sheets>
    <sheet name="Arbeit" sheetId="27" r:id="rId1"/>
    <sheet name="Ausbildung" sheetId="31" r:id="rId2"/>
    <sheet name="zu Hause" sheetId="32" r:id="rId3"/>
    <sheet name="Uebersetzungen" sheetId="29" state="hidden" r:id="rId4"/>
  </sheets>
  <definedNames>
    <definedName name="_xlnm.Print_Area" localSheetId="0">Arbeit!$A$1:$W$58</definedName>
    <definedName name="_xlnm.Print_Area" localSheetId="1">Ausbildung!$A$1:$W$57</definedName>
    <definedName name="_xlnm.Print_Area" localSheetId="2">'zu Hause'!$A$1:$U$57</definedName>
  </definedNames>
  <calcPr calcId="162913"/>
</workbook>
</file>

<file path=xl/calcChain.xml><?xml version="1.0" encoding="utf-8"?>
<calcChain xmlns="http://schemas.openxmlformats.org/spreadsheetml/2006/main">
  <c r="E13" i="31" l="1"/>
  <c r="A10" i="32"/>
  <c r="A9" i="32"/>
  <c r="A57" i="32"/>
  <c r="A56" i="32"/>
  <c r="A54" i="32"/>
  <c r="A53" i="32"/>
  <c r="A52" i="32"/>
  <c r="A51" i="32"/>
  <c r="A50" i="32"/>
  <c r="B48" i="32"/>
  <c r="B47" i="32"/>
  <c r="B46" i="32"/>
  <c r="A46" i="32"/>
  <c r="B45" i="32"/>
  <c r="B44" i="32"/>
  <c r="B43" i="32"/>
  <c r="B42" i="32"/>
  <c r="B41" i="32"/>
  <c r="B40" i="32"/>
  <c r="B39" i="32"/>
  <c r="B38" i="32"/>
  <c r="B37" i="32"/>
  <c r="B36" i="32"/>
  <c r="B35" i="32"/>
  <c r="A35" i="32"/>
  <c r="B34" i="32"/>
  <c r="B33" i="32"/>
  <c r="B32" i="32"/>
  <c r="A32" i="32"/>
  <c r="B31" i="32"/>
  <c r="B30" i="32"/>
  <c r="B29" i="32"/>
  <c r="B28" i="32"/>
  <c r="B27" i="32"/>
  <c r="A27" i="32"/>
  <c r="B26" i="32"/>
  <c r="B25" i="32"/>
  <c r="B24" i="32"/>
  <c r="B23" i="32"/>
  <c r="B22" i="32"/>
  <c r="A22" i="32"/>
  <c r="B21" i="32"/>
  <c r="B20" i="32"/>
  <c r="B19" i="32"/>
  <c r="B18" i="32"/>
  <c r="A18" i="32"/>
  <c r="B17" i="32"/>
  <c r="B16" i="32"/>
  <c r="A16" i="32"/>
  <c r="A15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S13" i="32"/>
  <c r="Q13" i="32"/>
  <c r="O13" i="32"/>
  <c r="M13" i="32"/>
  <c r="K13" i="32"/>
  <c r="I13" i="32"/>
  <c r="G13" i="32"/>
  <c r="E13" i="32"/>
  <c r="C13" i="32"/>
  <c r="A7" i="32"/>
  <c r="B34" i="31"/>
  <c r="B33" i="31"/>
  <c r="B32" i="31"/>
  <c r="A10" i="31"/>
  <c r="A9" i="31"/>
  <c r="A57" i="31"/>
  <c r="A56" i="31"/>
  <c r="A54" i="31"/>
  <c r="A53" i="31"/>
  <c r="A52" i="31"/>
  <c r="A51" i="31"/>
  <c r="A50" i="31"/>
  <c r="B48" i="31"/>
  <c r="B47" i="31"/>
  <c r="B46" i="31"/>
  <c r="A46" i="31"/>
  <c r="B45" i="31"/>
  <c r="B44" i="31"/>
  <c r="B43" i="31"/>
  <c r="B42" i="31"/>
  <c r="B41" i="31"/>
  <c r="B40" i="31"/>
  <c r="B39" i="31"/>
  <c r="B38" i="31"/>
  <c r="B37" i="31"/>
  <c r="B36" i="31"/>
  <c r="B35" i="31"/>
  <c r="A35" i="31"/>
  <c r="A32" i="31"/>
  <c r="B31" i="31"/>
  <c r="B30" i="31"/>
  <c r="B29" i="31"/>
  <c r="B28" i="31"/>
  <c r="B27" i="31"/>
  <c r="A27" i="31"/>
  <c r="B26" i="31"/>
  <c r="B25" i="31"/>
  <c r="B24" i="31"/>
  <c r="B23" i="31"/>
  <c r="B22" i="31"/>
  <c r="A22" i="31"/>
  <c r="B21" i="31"/>
  <c r="B20" i="31"/>
  <c r="B19" i="31"/>
  <c r="B18" i="31"/>
  <c r="A18" i="31"/>
  <c r="B17" i="31"/>
  <c r="B16" i="31"/>
  <c r="A16" i="31"/>
  <c r="A15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C14" i="31"/>
  <c r="U13" i="31"/>
  <c r="S13" i="31"/>
  <c r="Q13" i="31"/>
  <c r="O13" i="31"/>
  <c r="M13" i="31"/>
  <c r="K13" i="31"/>
  <c r="I13" i="31"/>
  <c r="G13" i="31"/>
  <c r="C13" i="31"/>
  <c r="A7" i="31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A58" i="27"/>
  <c r="A55" i="27"/>
  <c r="A54" i="27"/>
  <c r="A47" i="27"/>
  <c r="A36" i="27"/>
  <c r="A32" i="27"/>
  <c r="A27" i="27"/>
  <c r="A22" i="27"/>
  <c r="A18" i="27"/>
  <c r="A16" i="27"/>
  <c r="A15" i="27"/>
  <c r="U13" i="27"/>
  <c r="S13" i="27"/>
  <c r="Q13" i="27"/>
  <c r="O13" i="27"/>
  <c r="M13" i="27"/>
  <c r="A10" i="27"/>
  <c r="A9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K13" i="27" l="1"/>
  <c r="I13" i="27"/>
  <c r="G13" i="27"/>
  <c r="C13" i="27"/>
  <c r="V14" i="27" l="1"/>
  <c r="U14" i="27"/>
  <c r="T14" i="27"/>
  <c r="S14" i="27"/>
  <c r="F14" i="27"/>
  <c r="E14" i="27"/>
  <c r="E13" i="27"/>
  <c r="A53" i="27" l="1"/>
  <c r="A52" i="27"/>
  <c r="A51" i="27"/>
  <c r="D14" i="27"/>
  <c r="C14" i="27"/>
  <c r="A7" i="27"/>
  <c r="A57" i="27"/>
</calcChain>
</file>

<file path=xl/sharedStrings.xml><?xml version="1.0" encoding="utf-8"?>
<sst xmlns="http://schemas.openxmlformats.org/spreadsheetml/2006/main" count="823" uniqueCount="283">
  <si>
    <t>Total</t>
  </si>
  <si>
    <t>Anzahl Personen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</si>
  <si>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</si>
  <si>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</si>
  <si>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</si>
  <si>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</si>
  <si>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</si>
  <si>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</si>
  <si>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</si>
  <si>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</si>
  <si>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Arbeitsmarktstatus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</si>
  <si>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</si>
  <si>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</si>
  <si>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</si>
  <si>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</si>
  <si>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</si>
  <si>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</si>
  <si>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</si>
  <si>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</si>
  <si>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</si>
  <si>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</si>
  <si>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</si>
  <si>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Ungelernte Angestellte und Arbeiter</t>
  </si>
  <si>
    <t>Lernende in dualer beruflicher Grundbildung (Lehrlinge)</t>
  </si>
  <si>
    <t>Nicht zuteilbare Erwerbstätige (fehlende oder unklare Basisdaten oder unplausible Kombination)</t>
  </si>
  <si>
    <t>Erwerbslose und Nichterwerbspersonen</t>
  </si>
  <si>
    <t>Höchste abgeschlossene Ausbildung</t>
  </si>
  <si>
    <t>Sekundarstufe II</t>
  </si>
  <si>
    <t>Tertiärstufe</t>
  </si>
  <si>
    <t>Quelle: BFS (Strukturerhebung)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</si>
  <si>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</si>
  <si>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</si>
  <si>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</si>
  <si>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</si>
  <si>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</si>
  <si>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</si>
  <si>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</si>
  <si>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</si>
  <si>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</si>
  <si>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</si>
  <si>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</si>
  <si>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</si>
  <si>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</si>
  <si>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</si>
  <si>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</si>
  <si>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</si>
  <si>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</si>
  <si>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</si>
  <si>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</si>
  <si>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</si>
  <si>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</si>
  <si>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</si>
  <si>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</si>
  <si>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</si>
  <si>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</si>
  <si>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</si>
  <si>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</si>
  <si>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</si>
  <si>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</si>
  <si>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&lt;Quelle_1&gt;</t>
  </si>
  <si>
    <t>T1-2</t>
  </si>
  <si>
    <t>T2</t>
  </si>
  <si>
    <t>&lt;T2Titel&gt;</t>
  </si>
  <si>
    <t>&lt;T2UTitel&gt;</t>
  </si>
  <si>
    <t>&lt;SpaltenTitel_1.1&gt;</t>
  </si>
  <si>
    <t>&lt;SpaltenTitel_1.2&gt;</t>
  </si>
  <si>
    <t>Totale</t>
  </si>
  <si>
    <t>Numero di persone</t>
  </si>
  <si>
    <t>Fonte: UST - Rilevazione strutturale (RS)</t>
  </si>
  <si>
    <t>Sesso</t>
  </si>
  <si>
    <t>Età</t>
  </si>
  <si>
    <t>Uomini</t>
  </si>
  <si>
    <t>Donne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</si>
  <si>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</si>
  <si>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</si>
  <si>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</si>
  <si>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</si>
  <si>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</si>
  <si>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</si>
  <si>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</si>
  <si>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</si>
  <si>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</si>
  <si>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</si>
  <si>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</si>
  <si>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</si>
  <si>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</si>
  <si>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</si>
  <si>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</si>
  <si>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</si>
  <si>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</si>
  <si>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Umens</t>
  </si>
  <si>
    <t>Dunnas</t>
  </si>
  <si>
    <t>Gender</t>
  </si>
  <si>
    <t>Vegliadetgna</t>
  </si>
  <si>
    <t>Status dal martgà da lavur</t>
  </si>
  <si>
    <t>Categorias socioprofessiunalas</t>
  </si>
  <si>
    <t>La pli auta scolaziun terminada</t>
  </si>
  <si>
    <t>Professiuns libras ed egualas</t>
  </si>
  <si>
    <t>Autras persunas independentas</t>
  </si>
  <si>
    <t>Professiuns academicas e cader superiur</t>
  </si>
  <si>
    <t>professiuns intermediaras</t>
  </si>
  <si>
    <t>Professiuns betg manualas qualifitgadas</t>
  </si>
  <si>
    <t>Professiuns manualas qualifitgadas</t>
  </si>
  <si>
    <t>Emploiads e lavurants betg emprendids</t>
  </si>
  <si>
    <t>Emprendistas ed emprendists en ina furmaziun fundamentala professiunala dubla (emprendists)</t>
  </si>
  <si>
    <t>Persunas cun activitad da gudogn che n'èn betg attribuiblas (datas da basa mancantas u betg cleras u ina cumbinaziun inclausibla)</t>
  </si>
  <si>
    <t>Persunas senza activitad da gudogn e persunas senza activitad da gudogn</t>
  </si>
  <si>
    <t>Stgalim secundar II</t>
  </si>
  <si>
    <t>Stgalim terziar</t>
  </si>
  <si>
    <t>Management suprem</t>
  </si>
  <si>
    <t>Persunas senza activitad da gudogn</t>
  </si>
  <si>
    <t>Persunas cun activitad da gudogn</t>
  </si>
  <si>
    <t>Dumber da persunas</t>
  </si>
  <si>
    <t>Funtauna: UST (enquista da structura)</t>
  </si>
  <si>
    <t>&lt;SpaltenTitel_4&gt;</t>
  </si>
  <si>
    <t>Staatsangehörigkeit</t>
  </si>
  <si>
    <t>Naziunalitad</t>
  </si>
  <si>
    <t>Cittadinanza</t>
  </si>
  <si>
    <t>Status sul mercato del lavoro</t>
  </si>
  <si>
    <t>Categorie socioprofessionali</t>
  </si>
  <si>
    <t>Istruzione di massimo livello</t>
  </si>
  <si>
    <t>15-24</t>
  </si>
  <si>
    <t>65 und älter</t>
  </si>
  <si>
    <t>65 e dapli</t>
  </si>
  <si>
    <t>65 e più</t>
  </si>
  <si>
    <t>Svizzera</t>
  </si>
  <si>
    <t>Svizra</t>
  </si>
  <si>
    <t>Schweiz</t>
  </si>
  <si>
    <t>Ohne nachobligatorische Aubildung</t>
  </si>
  <si>
    <t>Senza furmaziun postobligatorica</t>
  </si>
  <si>
    <t>&lt;SpaltenTitel_5&gt;</t>
  </si>
  <si>
    <t>&lt;SpaltenTitel_6&gt;</t>
  </si>
  <si>
    <t>&lt;SpaltenTitel_7&gt;</t>
  </si>
  <si>
    <t>&lt;SpaltenTitel_8&gt;</t>
  </si>
  <si>
    <t>Ständige Wohnbevölkerung ab 15 Jahren</t>
  </si>
  <si>
    <t>Populaziun residenta permanenta a partir da 15 onns</t>
  </si>
  <si>
    <t>Popolazione residente permanente di 15 anni e più</t>
  </si>
  <si>
    <t>Rätoromanisch</t>
  </si>
  <si>
    <t>Englisch</t>
  </si>
  <si>
    <t>Andere Sprache/n</t>
  </si>
  <si>
    <t>Romanico</t>
  </si>
  <si>
    <t>Inglese</t>
  </si>
  <si>
    <t>Altra lingua</t>
  </si>
  <si>
    <t>Autra lingua</t>
  </si>
  <si>
    <t>Englais</t>
  </si>
  <si>
    <t>Rumantsch</t>
  </si>
  <si>
    <t>Vertrauens- intervall: 
± (in %)</t>
  </si>
  <si>
    <t>Interval da confidenza: 
± (en %)</t>
  </si>
  <si>
    <t>Intervallo di confidenza: 
± (in %)</t>
  </si>
  <si>
    <t>Migrationsstatus</t>
  </si>
  <si>
    <t>Status migratorio</t>
  </si>
  <si>
    <t>Status da migraziun</t>
  </si>
  <si>
    <t>45-64</t>
  </si>
  <si>
    <t>25-44</t>
  </si>
  <si>
    <t>EU und EFTA</t>
  </si>
  <si>
    <t>Anderer europäischer Staat</t>
  </si>
  <si>
    <t>Andere Staaten</t>
  </si>
  <si>
    <t>Staatsangehörigkeit unbekannt</t>
  </si>
  <si>
    <t>UE ed AECL</t>
  </si>
  <si>
    <t>In auter pajais europeic</t>
  </si>
  <si>
    <t>Auters stadis</t>
  </si>
  <si>
    <t>Naziunalitad n'è betg enconuschenta</t>
  </si>
  <si>
    <t>UE e EFTA</t>
  </si>
  <si>
    <t>Altro paese europeo</t>
  </si>
  <si>
    <t>Altri paesi</t>
  </si>
  <si>
    <t>Nazionalità sconosciuta</t>
  </si>
  <si>
    <t>&lt;Legende_5&gt;</t>
  </si>
  <si>
    <t>Die Befragten konnten mehrere Hauptsprachen nennen.</t>
  </si>
  <si>
    <t>Gli intervistati potevano indicare più lingue principali.</t>
  </si>
  <si>
    <t>Las persunas interrogadas han pudì inditgar pliras linguas principalas.</t>
  </si>
  <si>
    <t>&lt;T2Zeilentitel_6.3&gt;</t>
  </si>
  <si>
    <t>&lt;T2Zeilentitel_6.2&gt;</t>
  </si>
  <si>
    <t>&lt;T2Zeilentitel_6.1&gt;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</si>
  <si>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</si>
  <si>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</si>
  <si>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</si>
  <si>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</si>
  <si>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</si>
  <si>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&lt;Zeilentitel_2.1&gt;</t>
  </si>
  <si>
    <t>&lt;Zeilentitel_2.2&gt;</t>
  </si>
  <si>
    <t>&lt;Zeilentitel_3.1&gt;</t>
  </si>
  <si>
    <t>&lt;Zeilentitel_3.2&gt;</t>
  </si>
  <si>
    <t>&lt;Zeilentitel_3.3&gt;</t>
  </si>
  <si>
    <t>&lt;Zeilentitel_3.4&gt;</t>
  </si>
  <si>
    <t>&lt;Zeilentitel_4.1&gt;</t>
  </si>
  <si>
    <t>&lt;Zeilentitel_4.2&gt;</t>
  </si>
  <si>
    <t>&lt;Zeilentitel_4.3&gt;</t>
  </si>
  <si>
    <t>&lt;Zeilentitel_4.4&gt;</t>
  </si>
  <si>
    <t>&lt;Zeilentitel_4.5&gt;</t>
  </si>
  <si>
    <t>&lt;Zeilentitel_5.1&gt;</t>
  </si>
  <si>
    <t>&lt;Zeilentitel_5.2&gt;</t>
  </si>
  <si>
    <t>&lt;Zeilentitel_5.3&gt;</t>
  </si>
  <si>
    <t>&lt;Zeilentitel_5.4&gt;</t>
  </si>
  <si>
    <t>&lt;Zeilentitel_5.5&gt;</t>
  </si>
  <si>
    <t>&lt;Zeilentitel_6.1&gt;</t>
  </si>
  <si>
    <t>&lt;Zeilentitel_6.2&gt;</t>
  </si>
  <si>
    <t>&lt;Zeilentitel_6.3&gt;</t>
  </si>
  <si>
    <t>&lt;Zeilentitel_7.1&gt;</t>
  </si>
  <si>
    <t>&lt;Zeilentitel_7.2&gt;</t>
  </si>
  <si>
    <t>&lt;Zeilentitel_7.3&gt;</t>
  </si>
  <si>
    <t>&lt;Zeilentitel_7.4&gt;</t>
  </si>
  <si>
    <t>&lt;Zeilentitel_7.5&gt;</t>
  </si>
  <si>
    <t>&lt;Zeilentitel_7.6&gt;</t>
  </si>
  <si>
    <t>&lt;Zeilentitel_7.7&gt;</t>
  </si>
  <si>
    <t>&lt;Zeilentitel_7.8&gt;</t>
  </si>
  <si>
    <t>&lt;Zeilentitel_7.9&gt;</t>
  </si>
  <si>
    <t>&lt;Zeilentitel_7.10&gt;</t>
  </si>
  <si>
    <t>&lt;Zeilentitel_7.11&gt;</t>
  </si>
  <si>
    <t>&lt;Zeilentitel_8.1&gt;</t>
  </si>
  <si>
    <t>&lt;Zeilentitel_8.2&gt;</t>
  </si>
  <si>
    <t>&lt;Zeilentitel_8.3&gt;</t>
  </si>
  <si>
    <t>&lt;SpaltenTitel_9&gt;</t>
  </si>
  <si>
    <t>&lt;SpaltenTitel_10&gt;</t>
  </si>
  <si>
    <t>Bei der Arbeit gesprochene Sprachen, Kanton Graubünden</t>
  </si>
  <si>
    <t>Linguas discurridas a la lavur, chantun Grischun</t>
  </si>
  <si>
    <t>Lingue parlate sul lavoro, Canton Grigioni</t>
  </si>
  <si>
    <t>Total Bevölkerung</t>
  </si>
  <si>
    <t>Totale popolazione</t>
  </si>
  <si>
    <t>Total Erwerbstätige</t>
  </si>
  <si>
    <t>Total persunas cun activitad da gudogn</t>
  </si>
  <si>
    <t>Totale persone occupate</t>
  </si>
  <si>
    <t>Schweizerdeutsch</t>
  </si>
  <si>
    <t>Tudestg svizzer</t>
  </si>
  <si>
    <t>Svizzero tedesco</t>
  </si>
  <si>
    <t>Tedesco</t>
  </si>
  <si>
    <t>Tudestg</t>
  </si>
  <si>
    <t>Deutsch</t>
  </si>
  <si>
    <t>Französisch</t>
  </si>
  <si>
    <t>Franzos</t>
  </si>
  <si>
    <t>Francese</t>
  </si>
  <si>
    <t>Tessiner/Bündner-italienischer Dialekt</t>
  </si>
  <si>
    <t>Dialetto ticinese/grigionese-italiano</t>
  </si>
  <si>
    <t>Italiano</t>
  </si>
  <si>
    <t>Talian</t>
  </si>
  <si>
    <t>Dialect tessinais/grischun-talian</t>
  </si>
  <si>
    <t>Italienisch</t>
  </si>
  <si>
    <t>Vollzeiterwerbstätige (90-100%)</t>
  </si>
  <si>
    <t>Teilzeiterwerbstätige I (70-89%)</t>
  </si>
  <si>
    <t>Teilzeiterwerbstätige II (50-69%)</t>
  </si>
  <si>
    <t>Teilzeiterwerbstätige III (weniger als 50%)</t>
  </si>
  <si>
    <t>&lt;Zeilentitel_6.4&gt;</t>
  </si>
  <si>
    <t>Occupati a tempo pieno (90-100%)</t>
  </si>
  <si>
    <t>Occupati a tempo parziale I (70-89%)</t>
  </si>
  <si>
    <t>Occupati a tempo parziale II (50-69%)</t>
  </si>
  <si>
    <t>Occupati a tempo parziale III (meno del 50%)</t>
  </si>
  <si>
    <t>Persunas cun activitad da gudogn a temp cumplain (90-100%)</t>
  </si>
  <si>
    <t>Persunas cun activitad da gudogn a temp parzial I (70-89%)</t>
  </si>
  <si>
    <t>Persunas cun activitad da gudogn a temp parzial II (50-69%)</t>
  </si>
  <si>
    <t>Persunas cun activitad da gudogn a temp parzial III (main che 50%)</t>
  </si>
  <si>
    <t>Personen in Ausbildung</t>
  </si>
  <si>
    <t>&lt;T2SpaltenTitel_2&gt;</t>
  </si>
  <si>
    <t>In der Ausbildung gesprochene Sprachen, Kanton Graubünden</t>
  </si>
  <si>
    <t>Linguas discurridas en la scolaziun, chantun Grischun</t>
  </si>
  <si>
    <t>Lingue parlate durante la formazione, Canton Grigioni</t>
  </si>
  <si>
    <t>T3</t>
  </si>
  <si>
    <t>&lt;T3Titel&gt;</t>
  </si>
  <si>
    <t>&lt;T3UTitel&gt;</t>
  </si>
  <si>
    <t>Zu Hause gesprochene Sprachen im Kanton Graubünden</t>
  </si>
  <si>
    <t>Lingue parlate a casa nel Canton Grigioni</t>
  </si>
  <si>
    <t>Linguas discurridas a chasa en il chantun Grischun</t>
  </si>
  <si>
    <t>Total populaziun</t>
  </si>
  <si>
    <t>Svizzers senza retroterra da migraziun</t>
  </si>
  <si>
    <t>Svizzeri/e senza un passato migratorio</t>
  </si>
  <si>
    <t>Svizzers cun ina migraziun</t>
  </si>
  <si>
    <t>Svizzeri/e con un passato migratorio</t>
  </si>
  <si>
    <t>Persunas estras da l'emprima generaziun</t>
  </si>
  <si>
    <t>Stranieri/e di prima generazione</t>
  </si>
  <si>
    <t>Persunas estras da la segunda generaziun e da l'emprima</t>
  </si>
  <si>
    <t>Stranieri/e di seconda generazione e più</t>
  </si>
  <si>
    <t>La migraziun n'è betg enconuschenta</t>
  </si>
  <si>
    <t>Passato migratorio sconosciuto</t>
  </si>
  <si>
    <t>(): Extrapolaziun sin basa da 49 u damain observaziuns. Ils resultats ston vegnir interpretads cun gronda precauziun.</t>
  </si>
  <si>
    <t>(): Estrapolazione basata su 49 osservazioni o meno. I risultati devono essere interpretati con molta cautela.</t>
  </si>
  <si>
    <t>X: Extrapolaziun pervia da 4 u damain observaziuns. Per motivs da la protecziun da datas na vegnan ils resultats betg publitgads.</t>
  </si>
  <si>
    <t>X: Estrapolazione basata su 4 o meno osservazioni. I risultati non sono pubblicati per motivi di protezione dei dati.</t>
  </si>
  <si>
    <t>La survista da basa da l'enquista da structura cumpiglia tut las persunas da la populaziun residenta permanenta a partir da 15 onns che vivan en chasadas privatas.</t>
  </si>
  <si>
    <t>La popolazione dell'indagine sulla struttura comprende tutte le persone della popolazione residente permanente di età pari o superiore ai 15 anni che vivono in famiglie.</t>
  </si>
  <si>
    <t>Exclus da la totalitad fundamentala èn vegnids ultra da las persunas che vivan en chasadas collectivas er diplomats, funcziunaris internaziunals e lur confamigliars.</t>
  </si>
  <si>
    <t>Oltre alle persone che vivono in economie domestiche collettive, sono stati esclusi i diplomatici, i funzionari internazionali e i loro familiari.</t>
  </si>
  <si>
    <t>X</t>
  </si>
  <si>
    <t>Letztmals aktualisiert am: 17.02.2025</t>
  </si>
  <si>
    <t>Ultima actualisaziun: 17.02.2025</t>
  </si>
  <si>
    <t>Ulimo aggiornamento: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</si>
</sst>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* #,###"/>
    <numFmt numFmtId="171" formatCode="\(#\'##0\)"/>
    <numFmt numFmtId="172" formatCode="\(##0\)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4C4C4C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163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2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0" fontId="0" fillId="4" borderId="0" xfId="0" applyFill="1"/>
    <xf numFmtId="0" fontId="15" fillId="4" borderId="0" xfId="0" applyFont="1" applyFill="1"/>
    <xf numFmtId="0" fontId="12" fillId="3" borderId="3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wrapText="1"/>
    </xf>
    <xf numFmtId="0" fontId="2" fillId="0" borderId="0" xfId="0" applyFont="1" applyBorder="1"/>
    <xf numFmtId="169" fontId="3" fillId="4" borderId="0" xfId="1" applyNumberFormat="1" applyFont="1" applyFill="1" applyBorder="1" applyAlignment="1" applyProtection="1">
      <alignment horizontal="right" vertical="center" wrapText="1"/>
    </xf>
    <xf numFmtId="167" fontId="3" fillId="4" borderId="0" xfId="1" applyNumberFormat="1" applyFont="1" applyFill="1" applyBorder="1" applyAlignment="1" applyProtection="1">
      <alignment horizontal="right" vertical="center" wrapText="1"/>
    </xf>
    <xf numFmtId="1" fontId="3" fillId="4" borderId="0" xfId="1" applyNumberFormat="1" applyFont="1" applyFill="1" applyBorder="1" applyAlignment="1" applyProtection="1">
      <alignment horizontal="righ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2" fillId="0" borderId="18" xfId="0" applyFont="1" applyBorder="1"/>
    <xf numFmtId="0" fontId="13" fillId="3" borderId="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top"/>
    </xf>
    <xf numFmtId="0" fontId="2" fillId="0" borderId="8" xfId="0" applyFont="1" applyBorder="1"/>
    <xf numFmtId="0" fontId="2" fillId="0" borderId="9" xfId="0" applyFont="1" applyBorder="1"/>
    <xf numFmtId="0" fontId="8" fillId="4" borderId="0" xfId="0" applyFont="1" applyFill="1" applyAlignment="1">
      <alignment horizontal="left" vertical="top" wrapText="1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8" fillId="4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12" fillId="3" borderId="0" xfId="0" applyFont="1" applyFill="1" applyBorder="1" applyAlignment="1">
      <alignment horizontal="left" vertical="center"/>
    </xf>
    <xf numFmtId="0" fontId="12" fillId="3" borderId="24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4" borderId="26" xfId="1" applyNumberFormat="1" applyFont="1" applyFill="1" applyBorder="1" applyAlignment="1" applyProtection="1">
      <alignment horizontal="right" vertical="top" wrapText="1"/>
    </xf>
    <xf numFmtId="0" fontId="12" fillId="4" borderId="27" xfId="1" applyNumberFormat="1" applyFont="1" applyFill="1" applyBorder="1" applyAlignment="1" applyProtection="1">
      <alignment horizontal="right" vertical="top" wrapText="1"/>
    </xf>
    <xf numFmtId="0" fontId="12" fillId="4" borderId="20" xfId="1" applyNumberFormat="1" applyFont="1" applyFill="1" applyBorder="1" applyAlignment="1" applyProtection="1">
      <alignment horizontal="right" vertical="top" wrapText="1"/>
    </xf>
    <xf numFmtId="0" fontId="12" fillId="4" borderId="28" xfId="1" applyNumberFormat="1" applyFont="1" applyFill="1" applyBorder="1" applyAlignment="1" applyProtection="1">
      <alignment horizontal="right" vertical="top" wrapText="1"/>
    </xf>
    <xf numFmtId="0" fontId="12" fillId="4" borderId="29" xfId="1" applyNumberFormat="1" applyFont="1" applyFill="1" applyBorder="1" applyAlignment="1" applyProtection="1">
      <alignment horizontal="right" vertical="top" wrapText="1"/>
    </xf>
    <xf numFmtId="0" fontId="12" fillId="4" borderId="30" xfId="1" applyNumberFormat="1" applyFont="1" applyFill="1" applyBorder="1" applyAlignment="1" applyProtection="1">
      <alignment horizontal="right" vertical="top" wrapText="1"/>
    </xf>
    <xf numFmtId="170" fontId="11" fillId="0" borderId="22" xfId="1" applyNumberFormat="1" applyFont="1" applyFill="1" applyBorder="1" applyAlignment="1" applyProtection="1">
      <alignment horizontal="right" vertical="center" wrapText="1"/>
    </xf>
    <xf numFmtId="3" fontId="3" fillId="0" borderId="4" xfId="1" applyNumberFormat="1" applyFont="1" applyFill="1" applyBorder="1" applyAlignment="1" applyProtection="1">
      <alignment horizontal="right" vertical="center" wrapText="1"/>
    </xf>
    <xf numFmtId="3" fontId="3" fillId="0" borderId="7" xfId="1" applyNumberFormat="1" applyFont="1" applyFill="1" applyBorder="1" applyAlignment="1" applyProtection="1">
      <alignment horizontal="right" vertical="center" wrapText="1"/>
    </xf>
    <xf numFmtId="170" fontId="11" fillId="0" borderId="22" xfId="3" applyNumberFormat="1" applyFont="1" applyFill="1" applyBorder="1" applyAlignment="1" applyProtection="1">
      <alignment horizontal="right" vertical="center" wrapText="1"/>
    </xf>
    <xf numFmtId="3" fontId="3" fillId="0" borderId="4" xfId="3" applyNumberFormat="1" applyFont="1" applyFill="1" applyBorder="1" applyAlignment="1" applyProtection="1">
      <alignment horizontal="right" vertical="center" wrapText="1"/>
    </xf>
    <xf numFmtId="3" fontId="3" fillId="0" borderId="7" xfId="3" applyNumberFormat="1" applyFont="1" applyFill="1" applyBorder="1" applyAlignment="1" applyProtection="1">
      <alignment horizontal="right" vertical="center" wrapText="1"/>
    </xf>
    <xf numFmtId="0" fontId="12" fillId="4" borderId="31" xfId="1" applyNumberFormat="1" applyFont="1" applyFill="1" applyBorder="1" applyAlignment="1" applyProtection="1">
      <alignment horizontal="right" vertical="top" wrapText="1"/>
    </xf>
    <xf numFmtId="0" fontId="12" fillId="4" borderId="21" xfId="1" applyNumberFormat="1" applyFont="1" applyFill="1" applyBorder="1" applyAlignment="1" applyProtection="1">
      <alignment horizontal="right" vertical="top" wrapText="1"/>
    </xf>
    <xf numFmtId="3" fontId="3" fillId="0" borderId="0" xfId="3" applyNumberFormat="1" applyFont="1" applyFill="1" applyBorder="1" applyAlignment="1" applyProtection="1">
      <alignment horizontal="right" vertical="center" wrapText="1"/>
    </xf>
    <xf numFmtId="167" fontId="3" fillId="0" borderId="0" xfId="3" applyNumberFormat="1" applyFont="1" applyFill="1" applyBorder="1" applyAlignment="1" applyProtection="1">
      <alignment horizontal="right" vertical="center" wrapText="1"/>
    </xf>
    <xf numFmtId="3" fontId="3" fillId="0" borderId="0" xfId="1" applyNumberFormat="1" applyFont="1" applyFill="1" applyBorder="1" applyAlignment="1" applyProtection="1">
      <alignment horizontal="right" vertical="center" wrapText="1"/>
    </xf>
    <xf numFmtId="171" fontId="3" fillId="0" borderId="0" xfId="3" applyNumberFormat="1" applyFont="1" applyFill="1" applyBorder="1" applyAlignment="1" applyProtection="1">
      <alignment horizontal="right" vertical="center" wrapText="1"/>
    </xf>
    <xf numFmtId="168" fontId="3" fillId="0" borderId="0" xfId="3" applyNumberFormat="1" applyFont="1" applyFill="1" applyBorder="1" applyAlignment="1" applyProtection="1">
      <alignment horizontal="right" vertical="center" wrapText="1"/>
    </xf>
    <xf numFmtId="172" fontId="3" fillId="0" borderId="0" xfId="3" applyNumberFormat="1" applyFont="1" applyFill="1" applyBorder="1" applyAlignment="1" applyProtection="1">
      <alignment horizontal="right" vertical="center" wrapText="1"/>
    </xf>
    <xf numFmtId="171" fontId="3" fillId="0" borderId="0" xfId="1" applyNumberFormat="1" applyFont="1" applyFill="1" applyBorder="1" applyAlignment="1" applyProtection="1">
      <alignment horizontal="right" vertical="center" wrapText="1"/>
    </xf>
    <xf numFmtId="172" fontId="3" fillId="0" borderId="0" xfId="1" applyNumberFormat="1" applyFont="1" applyFill="1" applyBorder="1" applyAlignment="1" applyProtection="1">
      <alignment horizontal="right" vertical="center" wrapText="1"/>
    </xf>
    <xf numFmtId="3" fontId="19" fillId="0" borderId="0" xfId="1" applyNumberFormat="1" applyFont="1" applyFill="1" applyBorder="1" applyAlignment="1" applyProtection="1">
      <alignment horizontal="right" vertical="center" wrapText="1"/>
    </xf>
    <xf numFmtId="3" fontId="19" fillId="0" borderId="0" xfId="3" applyNumberFormat="1" applyFont="1" applyFill="1" applyBorder="1" applyAlignment="1" applyProtection="1">
      <alignment horizontal="right" vertical="center" wrapText="1"/>
    </xf>
    <xf numFmtId="167" fontId="19" fillId="0" borderId="0" xfId="3" applyNumberFormat="1" applyFont="1" applyFill="1" applyBorder="1" applyAlignment="1" applyProtection="1">
      <alignment horizontal="right" vertical="center" wrapText="1"/>
    </xf>
    <xf numFmtId="3" fontId="3" fillId="0" borderId="32" xfId="3" applyNumberFormat="1" applyFont="1" applyFill="1" applyBorder="1" applyAlignment="1" applyProtection="1">
      <alignment horizontal="right" vertical="center" wrapText="1"/>
    </xf>
    <xf numFmtId="167" fontId="3" fillId="0" borderId="32" xfId="3" applyNumberFormat="1" applyFont="1" applyFill="1" applyBorder="1" applyAlignment="1" applyProtection="1">
      <alignment horizontal="right" vertical="center" wrapText="1"/>
    </xf>
    <xf numFmtId="3" fontId="3" fillId="0" borderId="32" xfId="1" applyNumberFormat="1" applyFont="1" applyFill="1" applyBorder="1" applyAlignment="1" applyProtection="1">
      <alignment horizontal="right" vertical="center" wrapText="1"/>
    </xf>
    <xf numFmtId="172" fontId="3" fillId="0" borderId="32" xfId="3" applyNumberFormat="1" applyFont="1" applyFill="1" applyBorder="1" applyAlignment="1" applyProtection="1">
      <alignment horizontal="right" vertical="center" wrapText="1"/>
    </xf>
    <xf numFmtId="168" fontId="3" fillId="0" borderId="32" xfId="3" applyNumberFormat="1" applyFont="1" applyFill="1" applyBorder="1" applyAlignment="1" applyProtection="1">
      <alignment horizontal="right" vertical="center" wrapText="1"/>
    </xf>
    <xf numFmtId="171" fontId="3" fillId="0" borderId="32" xfId="3" applyNumberFormat="1" applyFont="1" applyFill="1" applyBorder="1" applyAlignment="1" applyProtection="1">
      <alignment horizontal="right" vertical="center" wrapText="1"/>
    </xf>
    <xf numFmtId="167" fontId="11" fillId="0" borderId="33" xfId="3" applyNumberFormat="1" applyFont="1" applyFill="1" applyBorder="1" applyAlignment="1" applyProtection="1">
      <alignment horizontal="right" vertical="center" wrapText="1"/>
    </xf>
    <xf numFmtId="170" fontId="11" fillId="0" borderId="33" xfId="1" applyNumberFormat="1" applyFont="1" applyFill="1" applyBorder="1" applyAlignment="1" applyProtection="1">
      <alignment horizontal="right" vertical="center" wrapText="1"/>
    </xf>
    <xf numFmtId="170" fontId="11" fillId="0" borderId="33" xfId="3" applyNumberFormat="1" applyFont="1" applyFill="1" applyBorder="1" applyAlignment="1" applyProtection="1">
      <alignment horizontal="right" vertical="center" wrapText="1"/>
    </xf>
    <xf numFmtId="167" fontId="3" fillId="0" borderId="34" xfId="3" applyNumberFormat="1" applyFont="1" applyFill="1" applyBorder="1" applyAlignment="1" applyProtection="1">
      <alignment horizontal="right" vertical="center" wrapText="1"/>
    </xf>
    <xf numFmtId="3" fontId="3" fillId="0" borderId="34" xfId="1" applyNumberFormat="1" applyFont="1" applyFill="1" applyBorder="1" applyAlignment="1" applyProtection="1">
      <alignment horizontal="right" vertical="center" wrapText="1"/>
    </xf>
    <xf numFmtId="3" fontId="3" fillId="0" borderId="34" xfId="3" applyNumberFormat="1" applyFont="1" applyFill="1" applyBorder="1" applyAlignment="1" applyProtection="1">
      <alignment horizontal="right" vertical="center" wrapText="1"/>
    </xf>
    <xf numFmtId="168" fontId="3" fillId="0" borderId="34" xfId="3" applyNumberFormat="1" applyFont="1" applyFill="1" applyBorder="1" applyAlignment="1" applyProtection="1">
      <alignment horizontal="right" vertical="center" wrapText="1"/>
    </xf>
    <xf numFmtId="167" fontId="11" fillId="0" borderId="35" xfId="3" applyNumberFormat="1" applyFont="1" applyFill="1" applyBorder="1" applyAlignment="1" applyProtection="1">
      <alignment horizontal="right" vertical="center" wrapText="1"/>
    </xf>
    <xf numFmtId="167" fontId="3" fillId="0" borderId="36" xfId="3" applyNumberFormat="1" applyFont="1" applyFill="1" applyBorder="1" applyAlignment="1" applyProtection="1">
      <alignment horizontal="right" vertical="center" wrapText="1"/>
    </xf>
    <xf numFmtId="171" fontId="3" fillId="0" borderId="4" xfId="3" applyNumberFormat="1" applyFont="1" applyFill="1" applyBorder="1" applyAlignment="1" applyProtection="1">
      <alignment horizontal="right" vertical="center" wrapText="1"/>
    </xf>
    <xf numFmtId="168" fontId="3" fillId="0" borderId="36" xfId="3" applyNumberFormat="1" applyFont="1" applyFill="1" applyBorder="1" applyAlignment="1" applyProtection="1">
      <alignment horizontal="right" vertical="center" wrapText="1"/>
    </xf>
    <xf numFmtId="167" fontId="3" fillId="0" borderId="37" xfId="3" applyNumberFormat="1" applyFont="1" applyFill="1" applyBorder="1" applyAlignment="1" applyProtection="1">
      <alignment horizontal="right" vertical="center" wrapText="1"/>
    </xf>
    <xf numFmtId="167" fontId="11" fillId="0" borderId="35" xfId="1" applyNumberFormat="1" applyFont="1" applyFill="1" applyBorder="1" applyAlignment="1" applyProtection="1">
      <alignment horizontal="right" vertical="center" wrapText="1"/>
    </xf>
    <xf numFmtId="167" fontId="3" fillId="0" borderId="36" xfId="1" applyNumberFormat="1" applyFont="1" applyFill="1" applyBorder="1" applyAlignment="1" applyProtection="1">
      <alignment horizontal="right" vertical="center" wrapText="1"/>
    </xf>
    <xf numFmtId="168" fontId="3" fillId="0" borderId="36" xfId="1" applyNumberFormat="1" applyFont="1" applyFill="1" applyBorder="1" applyAlignment="1" applyProtection="1">
      <alignment horizontal="right" vertical="center" wrapText="1"/>
    </xf>
    <xf numFmtId="172" fontId="3" fillId="0" borderId="4" xfId="3" applyNumberFormat="1" applyFont="1" applyFill="1" applyBorder="1" applyAlignment="1" applyProtection="1">
      <alignment horizontal="right" vertical="center" wrapText="1"/>
    </xf>
    <xf numFmtId="167" fontId="19" fillId="0" borderId="36" xfId="1" applyNumberFormat="1" applyFont="1" applyFill="1" applyBorder="1" applyAlignment="1" applyProtection="1">
      <alignment horizontal="right" vertical="center" wrapText="1"/>
    </xf>
    <xf numFmtId="3" fontId="19" fillId="0" borderId="4" xfId="3" applyNumberFormat="1" applyFont="1" applyFill="1" applyBorder="1" applyAlignment="1" applyProtection="1">
      <alignment horizontal="right" vertical="center" wrapText="1"/>
    </xf>
    <xf numFmtId="167" fontId="3" fillId="0" borderId="37" xfId="1" applyNumberFormat="1" applyFont="1" applyFill="1" applyBorder="1" applyAlignment="1" applyProtection="1">
      <alignment horizontal="right" vertical="center" wrapText="1"/>
    </xf>
    <xf numFmtId="167" fontId="19" fillId="0" borderId="36" xfId="3" applyNumberFormat="1" applyFont="1" applyFill="1" applyBorder="1" applyAlignment="1" applyProtection="1">
      <alignment horizontal="right" vertical="center" wrapText="1"/>
    </xf>
    <xf numFmtId="172" fontId="3" fillId="0" borderId="7" xfId="3" applyNumberFormat="1" applyFont="1" applyFill="1" applyBorder="1" applyAlignment="1" applyProtection="1">
      <alignment horizontal="right" vertical="center" wrapText="1"/>
    </xf>
    <xf numFmtId="167" fontId="11" fillId="0" borderId="38" xfId="3" applyNumberFormat="1" applyFont="1" applyFill="1" applyBorder="1" applyAlignment="1" applyProtection="1">
      <alignment horizontal="right" vertical="center" wrapText="1"/>
    </xf>
    <xf numFmtId="167" fontId="3" fillId="0" borderId="39" xfId="3" applyNumberFormat="1" applyFont="1" applyFill="1" applyBorder="1" applyAlignment="1" applyProtection="1">
      <alignment horizontal="right" vertical="center" wrapText="1"/>
    </xf>
    <xf numFmtId="168" fontId="3" fillId="0" borderId="39" xfId="3" applyNumberFormat="1" applyFont="1" applyFill="1" applyBorder="1" applyAlignment="1" applyProtection="1">
      <alignment horizontal="right" vertical="center" wrapText="1"/>
    </xf>
    <xf numFmtId="167" fontId="19" fillId="0" borderId="39" xfId="3" applyNumberFormat="1" applyFont="1" applyFill="1" applyBorder="1" applyAlignment="1" applyProtection="1">
      <alignment horizontal="right" vertical="center" wrapText="1"/>
    </xf>
    <xf numFmtId="171" fontId="3" fillId="0" borderId="7" xfId="3" applyNumberFormat="1" applyFont="1" applyFill="1" applyBorder="1" applyAlignment="1" applyProtection="1">
      <alignment horizontal="right" vertical="center" wrapText="1"/>
    </xf>
    <xf numFmtId="168" fontId="3" fillId="0" borderId="40" xfId="3" applyNumberFormat="1" applyFont="1" applyFill="1" applyBorder="1" applyAlignment="1" applyProtection="1">
      <alignment horizontal="right" vertical="center" wrapText="1"/>
    </xf>
    <xf numFmtId="3" fontId="3" fillId="0" borderId="22" xfId="3" applyNumberFormat="1" applyFont="1" applyFill="1" applyBorder="1" applyAlignment="1" applyProtection="1">
      <alignment horizontal="right" vertical="center" wrapText="1"/>
    </xf>
    <xf numFmtId="167" fontId="3" fillId="0" borderId="35" xfId="3" applyNumberFormat="1" applyFont="1" applyFill="1" applyBorder="1" applyAlignment="1" applyProtection="1">
      <alignment horizontal="right" vertical="center" wrapText="1"/>
    </xf>
    <xf numFmtId="3" fontId="3" fillId="0" borderId="33" xfId="1" applyNumberFormat="1" applyFont="1" applyFill="1" applyBorder="1" applyAlignment="1" applyProtection="1">
      <alignment horizontal="right" vertical="center" wrapText="1"/>
    </xf>
    <xf numFmtId="167" fontId="3" fillId="0" borderId="35" xfId="1" applyNumberFormat="1" applyFont="1" applyFill="1" applyBorder="1" applyAlignment="1" applyProtection="1">
      <alignment horizontal="right" vertical="center" wrapText="1"/>
    </xf>
    <xf numFmtId="167" fontId="3" fillId="0" borderId="33" xfId="3" applyNumberFormat="1" applyFont="1" applyFill="1" applyBorder="1" applyAlignment="1" applyProtection="1">
      <alignment horizontal="right" vertical="center" wrapText="1"/>
    </xf>
    <xf numFmtId="3" fontId="3" fillId="0" borderId="33" xfId="3" applyNumberFormat="1" applyFont="1" applyFill="1" applyBorder="1" applyAlignment="1" applyProtection="1">
      <alignment horizontal="right" vertical="center" wrapText="1"/>
    </xf>
    <xf numFmtId="167" fontId="3" fillId="0" borderId="38" xfId="3" applyNumberFormat="1" applyFont="1" applyFill="1" applyBorder="1" applyAlignment="1" applyProtection="1">
      <alignment horizontal="right" vertical="center" wrapText="1"/>
    </xf>
    <xf numFmtId="3" fontId="3" fillId="0" borderId="41" xfId="3" applyNumberFormat="1" applyFont="1" applyFill="1" applyBorder="1" applyAlignment="1" applyProtection="1">
      <alignment horizontal="right" vertical="center" wrapText="1"/>
    </xf>
    <xf numFmtId="167" fontId="3" fillId="0" borderId="42" xfId="3" applyNumberFormat="1" applyFont="1" applyFill="1" applyBorder="1" applyAlignment="1" applyProtection="1">
      <alignment horizontal="right" vertical="center" wrapText="1"/>
    </xf>
    <xf numFmtId="167" fontId="3" fillId="0" borderId="42" xfId="1" applyNumberFormat="1" applyFont="1" applyFill="1" applyBorder="1" applyAlignment="1" applyProtection="1">
      <alignment horizontal="right" vertical="center" wrapText="1"/>
    </xf>
    <xf numFmtId="168" fontId="3" fillId="0" borderId="42" xfId="3" applyNumberFormat="1" applyFont="1" applyFill="1" applyBorder="1" applyAlignment="1" applyProtection="1">
      <alignment horizontal="right" vertical="center" wrapText="1"/>
    </xf>
    <xf numFmtId="171" fontId="3" fillId="0" borderId="41" xfId="3" applyNumberFormat="1" applyFont="1" applyFill="1" applyBorder="1" applyAlignment="1" applyProtection="1">
      <alignment horizontal="right" vertical="center" wrapText="1"/>
    </xf>
    <xf numFmtId="167" fontId="3" fillId="0" borderId="43" xfId="3" applyNumberFormat="1" applyFont="1" applyFill="1" applyBorder="1" applyAlignment="1" applyProtection="1">
      <alignment horizontal="right" vertical="center" wrapText="1"/>
    </xf>
    <xf numFmtId="172" fontId="3" fillId="0" borderId="41" xfId="3" applyNumberFormat="1" applyFont="1" applyFill="1" applyBorder="1" applyAlignment="1" applyProtection="1">
      <alignment horizontal="right" vertical="center" wrapText="1"/>
    </xf>
    <xf numFmtId="168" fontId="3" fillId="0" borderId="43" xfId="3" applyNumberFormat="1" applyFont="1" applyFill="1" applyBorder="1" applyAlignment="1" applyProtection="1">
      <alignment horizontal="right" vertical="center" wrapText="1"/>
    </xf>
    <xf numFmtId="172" fontId="3" fillId="0" borderId="33" xfId="3" applyNumberFormat="1" applyFont="1" applyFill="1" applyBorder="1" applyAlignment="1" applyProtection="1">
      <alignment horizontal="right" vertical="center" wrapText="1"/>
    </xf>
    <xf numFmtId="168" fontId="3" fillId="0" borderId="35" xfId="3" applyNumberFormat="1" applyFont="1" applyFill="1" applyBorder="1" applyAlignment="1" applyProtection="1">
      <alignment horizontal="right" vertical="center" wrapText="1"/>
    </xf>
    <xf numFmtId="172" fontId="3" fillId="0" borderId="22" xfId="3" applyNumberFormat="1" applyFont="1" applyFill="1" applyBorder="1" applyAlignment="1" applyProtection="1">
      <alignment horizontal="right" vertical="center" wrapText="1"/>
    </xf>
    <xf numFmtId="168" fontId="3" fillId="0" borderId="33" xfId="3" applyNumberFormat="1" applyFont="1" applyFill="1" applyBorder="1" applyAlignment="1" applyProtection="1">
      <alignment horizontal="right" vertical="center" wrapText="1"/>
    </xf>
    <xf numFmtId="171" fontId="3" fillId="0" borderId="33" xfId="3" applyNumberFormat="1" applyFont="1" applyFill="1" applyBorder="1" applyAlignment="1" applyProtection="1">
      <alignment horizontal="right" vertical="center" wrapText="1"/>
    </xf>
    <xf numFmtId="171" fontId="3" fillId="0" borderId="22" xfId="3" applyNumberFormat="1" applyFont="1" applyFill="1" applyBorder="1" applyAlignment="1" applyProtection="1">
      <alignment horizontal="right" vertical="center" wrapText="1"/>
    </xf>
    <xf numFmtId="167" fontId="3" fillId="0" borderId="0" xfId="1" applyNumberFormat="1" applyFont="1" applyFill="1" applyBorder="1" applyAlignment="1" applyProtection="1">
      <alignment horizontal="right" vertical="center" wrapText="1"/>
    </xf>
    <xf numFmtId="168" fontId="3" fillId="0" borderId="0" xfId="1" applyNumberFormat="1" applyFont="1" applyFill="1" applyBorder="1" applyAlignment="1" applyProtection="1">
      <alignment horizontal="right" vertical="center" wrapText="1"/>
    </xf>
    <xf numFmtId="167" fontId="3" fillId="0" borderId="32" xfId="1" applyNumberFormat="1" applyFont="1" applyFill="1" applyBorder="1" applyAlignment="1" applyProtection="1">
      <alignment horizontal="right" vertical="center" wrapText="1"/>
    </xf>
    <xf numFmtId="170" fontId="11" fillId="0" borderId="23" xfId="3" applyNumberFormat="1" applyFont="1" applyFill="1" applyBorder="1" applyAlignment="1" applyProtection="1">
      <alignment horizontal="right" vertical="center" wrapText="1"/>
    </xf>
    <xf numFmtId="167" fontId="11" fillId="0" borderId="33" xfId="1" applyNumberFormat="1" applyFont="1" applyFill="1" applyBorder="1" applyAlignment="1" applyProtection="1">
      <alignment horizontal="right" vertical="center" wrapText="1"/>
    </xf>
    <xf numFmtId="168" fontId="11" fillId="0" borderId="33" xfId="3" applyNumberFormat="1" applyFont="1" applyFill="1" applyBorder="1" applyAlignment="1" applyProtection="1">
      <alignment horizontal="right" vertical="center" wrapText="1"/>
    </xf>
    <xf numFmtId="3" fontId="3" fillId="0" borderId="5" xfId="3" applyNumberFormat="1" applyFont="1" applyFill="1" applyBorder="1" applyAlignment="1" applyProtection="1">
      <alignment horizontal="right" vertical="center" wrapText="1"/>
    </xf>
    <xf numFmtId="171" fontId="3" fillId="0" borderId="5" xfId="3" applyNumberFormat="1" applyFont="1" applyFill="1" applyBorder="1" applyAlignment="1" applyProtection="1">
      <alignment horizontal="right" vertical="center" wrapText="1"/>
    </xf>
    <xf numFmtId="3" fontId="3" fillId="0" borderId="6" xfId="3" applyNumberFormat="1" applyFont="1" applyFill="1" applyBorder="1" applyAlignment="1" applyProtection="1">
      <alignment horizontal="right" vertical="center" wrapText="1"/>
    </xf>
    <xf numFmtId="167" fontId="3" fillId="0" borderId="34" xfId="1" applyNumberFormat="1" applyFont="1" applyFill="1" applyBorder="1" applyAlignment="1" applyProtection="1">
      <alignment horizontal="right" vertical="center" wrapText="1"/>
    </xf>
    <xf numFmtId="171" fontId="3" fillId="0" borderId="34" xfId="3" applyNumberFormat="1" applyFont="1" applyFill="1" applyBorder="1" applyAlignment="1" applyProtection="1">
      <alignment horizontal="right" vertical="center" wrapText="1"/>
    </xf>
    <xf numFmtId="172" fontId="3" fillId="0" borderId="34" xfId="3" applyNumberFormat="1" applyFont="1" applyFill="1" applyBorder="1" applyAlignment="1" applyProtection="1">
      <alignment horizontal="right" vertical="center" wrapText="1"/>
    </xf>
    <xf numFmtId="172" fontId="3" fillId="0" borderId="4" xfId="1" applyNumberFormat="1" applyFont="1" applyFill="1" applyBorder="1" applyAlignment="1" applyProtection="1">
      <alignment horizontal="right" vertical="center" wrapText="1"/>
    </xf>
    <xf numFmtId="171" fontId="3" fillId="0" borderId="4" xfId="1" applyNumberFormat="1" applyFont="1" applyFill="1" applyBorder="1" applyAlignment="1" applyProtection="1">
      <alignment horizontal="right" vertical="center" wrapText="1"/>
    </xf>
    <xf numFmtId="168" fontId="3" fillId="0" borderId="37" xfId="3" applyNumberFormat="1" applyFont="1" applyFill="1" applyBorder="1" applyAlignment="1" applyProtection="1">
      <alignment horizontal="right" vertical="center" wrapText="1"/>
    </xf>
    <xf numFmtId="172" fontId="11" fillId="0" borderId="22" xfId="3" applyNumberFormat="1" applyFont="1" applyFill="1" applyBorder="1" applyAlignment="1" applyProtection="1">
      <alignment horizontal="right" vertical="center" wrapText="1"/>
    </xf>
    <xf numFmtId="168" fontId="11" fillId="0" borderId="35" xfId="3" applyNumberFormat="1" applyFont="1" applyFill="1" applyBorder="1" applyAlignment="1" applyProtection="1">
      <alignment horizontal="right" vertical="center" wrapText="1"/>
    </xf>
    <xf numFmtId="171" fontId="11" fillId="0" borderId="22" xfId="3" applyNumberFormat="1" applyFont="1" applyFill="1" applyBorder="1" applyAlignment="1" applyProtection="1">
      <alignment horizontal="right" vertical="center" wrapText="1"/>
    </xf>
    <xf numFmtId="168" fontId="11" fillId="0" borderId="38" xfId="3" applyNumberFormat="1" applyFont="1" applyFill="1" applyBorder="1" applyAlignment="1" applyProtection="1">
      <alignment horizontal="right" vertical="center" wrapText="1"/>
    </xf>
    <xf numFmtId="167" fontId="3" fillId="0" borderId="40" xfId="3" applyNumberFormat="1" applyFont="1" applyFill="1" applyBorder="1" applyAlignment="1" applyProtection="1">
      <alignment horizontal="right" vertical="center" wrapText="1"/>
    </xf>
    <xf numFmtId="3" fontId="3" fillId="0" borderId="23" xfId="3" applyNumberFormat="1" applyFont="1" applyFill="1" applyBorder="1" applyAlignment="1" applyProtection="1">
      <alignment horizontal="right" vertical="center" wrapText="1"/>
    </xf>
    <xf numFmtId="3" fontId="3" fillId="0" borderId="22" xfId="1" applyNumberFormat="1" applyFont="1" applyFill="1" applyBorder="1" applyAlignment="1" applyProtection="1">
      <alignment horizontal="right" vertical="center" wrapText="1"/>
    </xf>
    <xf numFmtId="167" fontId="3" fillId="0" borderId="33" xfId="1" applyNumberFormat="1" applyFont="1" applyFill="1" applyBorder="1" applyAlignment="1" applyProtection="1">
      <alignment horizontal="right" vertical="center" wrapText="1"/>
    </xf>
    <xf numFmtId="168" fontId="3" fillId="0" borderId="38" xfId="3" applyNumberFormat="1" applyFont="1" applyFill="1" applyBorder="1" applyAlignment="1" applyProtection="1">
      <alignment horizontal="right" vertical="center" wrapText="1"/>
    </xf>
    <xf numFmtId="3" fontId="3" fillId="0" borderId="25" xfId="3" applyNumberFormat="1" applyFont="1" applyFill="1" applyBorder="1" applyAlignment="1" applyProtection="1">
      <alignment horizontal="right" vertical="center" wrapText="1"/>
    </xf>
    <xf numFmtId="3" fontId="3" fillId="0" borderId="41" xfId="1" applyNumberFormat="1" applyFont="1" applyFill="1" applyBorder="1" applyAlignment="1" applyProtection="1">
      <alignment horizontal="right" vertical="center" wrapText="1"/>
    </xf>
    <xf numFmtId="0" fontId="8" fillId="4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15" xfId="0" applyFont="1" applyFill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</cellXfs>
  <cellStyles count="11">
    <cellStyle name="Komma" xfId="1" builtinId="3"/>
    <cellStyle name="Komma 2" xfId="2"/>
    <cellStyle name="Komma 3" xfId="3"/>
    <cellStyle name="Normale 2" xfId="10"/>
    <cellStyle name="Standard" xfId="0" builtinId="0"/>
    <cellStyle name="Standard 2" xfId="4"/>
    <cellStyle name="Standard 2 2" xfId="7"/>
    <cellStyle name="Standard 3" xfId="5"/>
    <cellStyle name="Standard 4" xfId="6"/>
    <cellStyle name="Standard 4 2" xfId="8"/>
    <cellStyle name="Standard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Option Button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Option Button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3" name="Option Button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2"/>
  <sheetViews>
    <sheetView showGridLines="0" tabSelected="1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22" width="9.5" style="6" customWidth="1"/>
    <col min="23" max="16384" width="11" style="6"/>
  </cols>
  <sheetData>
    <row r="1" spans="1:23" s="1" customFormat="1" x14ac:dyDescent="0.2"/>
    <row r="2" spans="1:23" s="1" customFormat="1" ht="15.75" x14ac:dyDescent="0.25">
      <c r="B2" s="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3" s="1" customFormat="1" ht="15.75" x14ac:dyDescent="0.25"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3" s="1" customFormat="1" ht="15.75" x14ac:dyDescent="0.25"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23" s="1" customFormat="1" x14ac:dyDescent="0.2"/>
    <row r="6" spans="1:23" s="1" customFormat="1" x14ac:dyDescent="0.2"/>
    <row r="7" spans="1:23" s="1" customFormat="1" ht="15.75" customHeight="1" x14ac:dyDescent="0.2">
      <c r="A7" s="152" t="str">
        <f>VLOOKUP("&lt;Fachbereich&gt;",Uebersetzungen!$B$3:$E$63,Uebersetzungen!$B$2+1,FALSE)</f>
        <v>Daten &amp; Statistik</v>
      </c>
      <c r="B7" s="152"/>
      <c r="C7" s="152"/>
      <c r="D7" s="152"/>
      <c r="E7" s="36"/>
      <c r="F7" s="36"/>
      <c r="G7" s="38"/>
      <c r="H7" s="38"/>
      <c r="I7" s="38"/>
      <c r="J7" s="38"/>
      <c r="K7" s="38"/>
      <c r="L7" s="38"/>
      <c r="M7" s="40"/>
      <c r="N7" s="40"/>
      <c r="O7" s="40"/>
      <c r="P7" s="40"/>
      <c r="Q7" s="40"/>
      <c r="R7" s="40"/>
      <c r="S7" s="12"/>
      <c r="T7" s="12"/>
      <c r="U7" s="12"/>
      <c r="V7" s="12"/>
      <c r="W7" s="12"/>
    </row>
    <row r="8" spans="1:23" s="1" customFormat="1" x14ac:dyDescent="0.2"/>
    <row r="9" spans="1:23" ht="18" x14ac:dyDescent="0.2">
      <c r="A9" s="3" t="str">
        <f>VLOOKUP("&lt;Titel&gt;",Uebersetzungen!$B$3:$E$86,Uebersetzungen!$B$2+1,FALSE)</f>
        <v>Bei der Arbeit gesprochene Sprachen, Kanton Graubünden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 x14ac:dyDescent="0.2">
      <c r="A10" s="7" t="str">
        <f>VLOOKUP("&lt;UTitel&gt;",Uebersetzungen!$B$3:$E$86,Uebersetzungen!$B$2+1,FALSE)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3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 ht="18" x14ac:dyDescent="0.25">
      <c r="A12" s="8"/>
      <c r="B12" s="8"/>
      <c r="C12" s="158">
        <v>2023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60"/>
    </row>
    <row r="13" spans="1:23" ht="37.5" customHeight="1" x14ac:dyDescent="0.2">
      <c r="B13" s="153"/>
      <c r="C13" s="155" t="str">
        <f>VLOOKUP("&lt;SpaltenTitel_1&gt;",Uebersetzungen!$B$3:$E$63,Uebersetzungen!$B$2+1,FALSE)</f>
        <v>Total Bevölkerung</v>
      </c>
      <c r="D13" s="156"/>
      <c r="E13" s="156" t="str">
        <f>VLOOKUP("&lt;SpaltenTitel_2&gt;",Uebersetzungen!$B$3:$E$63,Uebersetzungen!$B$2+1,FALSE)</f>
        <v>Total Erwerbstätige</v>
      </c>
      <c r="F13" s="156"/>
      <c r="G13" s="156" t="str">
        <f>VLOOKUP("&lt;SpaltenTitel_3&gt;",Uebersetzungen!$B$3:$E$63,Uebersetzungen!$B$2+1,FALSE)</f>
        <v>Schweizerdeutsch</v>
      </c>
      <c r="H13" s="156"/>
      <c r="I13" s="156" t="str">
        <f>VLOOKUP("&lt;SpaltenTitel_4&gt;",Uebersetzungen!$B$3:$E$63,Uebersetzungen!$B$2+1,FALSE)</f>
        <v>Deutsch</v>
      </c>
      <c r="J13" s="156"/>
      <c r="K13" s="156" t="str">
        <f>VLOOKUP("&lt;SpaltenTitel_5&gt;",Uebersetzungen!$B$3:$E$63,Uebersetzungen!$B$2+1,FALSE)</f>
        <v>Französisch</v>
      </c>
      <c r="L13" s="156"/>
      <c r="M13" s="161" t="str">
        <f>VLOOKUP("&lt;SpaltenTitel_6&gt;",Uebersetzungen!$B$3:$E$63,Uebersetzungen!$B$2+1,FALSE)</f>
        <v>Tessiner/Bündner-italienischer Dialekt</v>
      </c>
      <c r="N13" s="162"/>
      <c r="O13" s="161" t="str">
        <f>VLOOKUP("&lt;SpaltenTitel_7&gt;",Uebersetzungen!$B$3:$E$63,Uebersetzungen!$B$2+1,FALSE)</f>
        <v>Italienisch</v>
      </c>
      <c r="P13" s="162"/>
      <c r="Q13" s="161" t="str">
        <f>VLOOKUP("&lt;SpaltenTitel_8&gt;",Uebersetzungen!$B$3:$E$63,Uebersetzungen!$B$2+1,FALSE)</f>
        <v>Rätoromanisch</v>
      </c>
      <c r="R13" s="162"/>
      <c r="S13" s="156" t="str">
        <f>VLOOKUP("&lt;SpaltenTitel_9&gt;",Uebersetzungen!$B$3:$E$63,Uebersetzungen!$B$2+1,FALSE)</f>
        <v>Englisch</v>
      </c>
      <c r="T13" s="156"/>
      <c r="U13" s="156" t="str">
        <f>VLOOKUP("&lt;SpaltenTitel_10&gt;",Uebersetzungen!$B$3:$E$63,Uebersetzungen!$B$2+1,FALSE)</f>
        <v>Andere Sprache/n</v>
      </c>
      <c r="V13" s="157"/>
    </row>
    <row r="14" spans="1:23" ht="39" thickBot="1" x14ac:dyDescent="0.25">
      <c r="B14" s="154"/>
      <c r="C14" s="47" t="str">
        <f>VLOOKUP("&lt;SpaltenTitel_1.1&gt;",Uebersetzungen!$B$3:$E$63,Uebersetzungen!$B$2+1,FALSE)</f>
        <v>Anzahl Personen</v>
      </c>
      <c r="D14" s="48" t="str">
        <f>VLOOKUP("&lt;SpaltenTitel_1.2&gt;",Uebersetzungen!$B$3:$E$63,Uebersetzungen!$B$2+1,FALSE)</f>
        <v>Vertrauens- intervall: 
± (in %)</v>
      </c>
      <c r="E14" s="49" t="str">
        <f>VLOOKUP("&lt;SpaltenTitel_1.1&gt;",Uebersetzungen!$B$3:$E$63,Uebersetzungen!$B$2+1,FALSE)</f>
        <v>Anzahl Personen</v>
      </c>
      <c r="F14" s="48" t="str">
        <f>VLOOKUP("&lt;SpaltenTitel_1.2&gt;",Uebersetzungen!$B$3:$E$63,Uebersetzungen!$B$2+1,FALSE)</f>
        <v>Vertrauens- intervall: 
± (in %)</v>
      </c>
      <c r="G14" s="49" t="str">
        <f>VLOOKUP("&lt;SpaltenTitel_1.1&gt;",Uebersetzungen!$B$3:$E$63,Uebersetzungen!$B$2+1,FALSE)</f>
        <v>Anzahl Personen</v>
      </c>
      <c r="H14" s="48" t="str">
        <f>VLOOKUP("&lt;SpaltenTitel_1.2&gt;",Uebersetzungen!$B$3:$E$63,Uebersetzungen!$B$2+1,FALSE)</f>
        <v>Vertrauens- intervall: 
± (in %)</v>
      </c>
      <c r="I14" s="49" t="str">
        <f>VLOOKUP("&lt;SpaltenTitel_1.1&gt;",Uebersetzungen!$B$3:$E$63,Uebersetzungen!$B$2+1,FALSE)</f>
        <v>Anzahl Personen</v>
      </c>
      <c r="J14" s="48" t="str">
        <f>VLOOKUP("&lt;SpaltenTitel_1.2&gt;",Uebersetzungen!$B$3:$E$63,Uebersetzungen!$B$2+1,FALSE)</f>
        <v>Vertrauens- intervall: 
± (in %)</v>
      </c>
      <c r="K14" s="49" t="str">
        <f>VLOOKUP("&lt;SpaltenTitel_1.1&gt;",Uebersetzungen!$B$3:$E$63,Uebersetzungen!$B$2+1,FALSE)</f>
        <v>Anzahl Personen</v>
      </c>
      <c r="L14" s="48" t="str">
        <f>VLOOKUP("&lt;SpaltenTitel_1.2&gt;",Uebersetzungen!$B$3:$E$63,Uebersetzungen!$B$2+1,FALSE)</f>
        <v>Vertrauens- intervall: 
± (in %)</v>
      </c>
      <c r="M14" s="49" t="str">
        <f>VLOOKUP("&lt;SpaltenTitel_1.1&gt;",Uebersetzungen!$B$3:$E$63,Uebersetzungen!$B$2+1,FALSE)</f>
        <v>Anzahl Personen</v>
      </c>
      <c r="N14" s="48" t="str">
        <f>VLOOKUP("&lt;SpaltenTitel_1.2&gt;",Uebersetzungen!$B$3:$E$63,Uebersetzungen!$B$2+1,FALSE)</f>
        <v>Vertrauens- intervall: 
± (in %)</v>
      </c>
      <c r="O14" s="49" t="str">
        <f>VLOOKUP("&lt;SpaltenTitel_1.1&gt;",Uebersetzungen!$B$3:$E$63,Uebersetzungen!$B$2+1,FALSE)</f>
        <v>Anzahl Personen</v>
      </c>
      <c r="P14" s="48" t="str">
        <f>VLOOKUP("&lt;SpaltenTitel_1.2&gt;",Uebersetzungen!$B$3:$E$63,Uebersetzungen!$B$2+1,FALSE)</f>
        <v>Vertrauens- intervall: 
± (in %)</v>
      </c>
      <c r="Q14" s="49" t="str">
        <f>VLOOKUP("&lt;SpaltenTitel_1.1&gt;",Uebersetzungen!$B$3:$E$63,Uebersetzungen!$B$2+1,FALSE)</f>
        <v>Anzahl Personen</v>
      </c>
      <c r="R14" s="48" t="str">
        <f>VLOOKUP("&lt;SpaltenTitel_1.2&gt;",Uebersetzungen!$B$3:$E$63,Uebersetzungen!$B$2+1,FALSE)</f>
        <v>Vertrauens- intervall: 
± (in %)</v>
      </c>
      <c r="S14" s="50" t="str">
        <f>VLOOKUP("&lt;SpaltenTitel_1.1&gt;",Uebersetzungen!$B$3:$E$63,Uebersetzungen!$B$2+1,FALSE)</f>
        <v>Anzahl Personen</v>
      </c>
      <c r="T14" s="48" t="str">
        <f>VLOOKUP("&lt;SpaltenTitel_1.2&gt;",Uebersetzungen!$B$3:$E$63,Uebersetzungen!$B$2+1,FALSE)</f>
        <v>Vertrauens- intervall: 
± (in %)</v>
      </c>
      <c r="U14" s="51" t="str">
        <f>VLOOKUP("&lt;SpaltenTitel_1.1&gt;",Uebersetzungen!$B$3:$E$63,Uebersetzungen!$B$2+1,FALSE)</f>
        <v>Anzahl Personen</v>
      </c>
      <c r="V14" s="52" t="str">
        <f>VLOOKUP("&lt;SpaltenTitel_1.2&gt;",Uebersetzungen!$B$3:$E$63,Uebersetzungen!$B$2+1,FALSE)</f>
        <v>Vertrauens- intervall: 
± (in %)</v>
      </c>
    </row>
    <row r="15" spans="1:23" ht="14.25" customHeight="1" x14ac:dyDescent="0.2">
      <c r="A15" s="29" t="str">
        <f>VLOOKUP("&lt;Zeilentitel_1&gt;",Uebersetzungen!$B$3:$E$83,Uebersetzungen!$B$2+1,FALSE)</f>
        <v>Total</v>
      </c>
      <c r="B15" s="42"/>
      <c r="C15" s="56">
        <v>174610.99999999691</v>
      </c>
      <c r="D15" s="85">
        <v>0.33944767742202053</v>
      </c>
      <c r="E15" s="79">
        <v>106960.13753694597</v>
      </c>
      <c r="F15" s="90">
        <v>2.2331374480020427</v>
      </c>
      <c r="G15" s="56">
        <v>83533.12317089201</v>
      </c>
      <c r="H15" s="78">
        <v>2.8865708056141144</v>
      </c>
      <c r="I15" s="56">
        <v>37728.401894386625</v>
      </c>
      <c r="J15" s="85">
        <v>5.316403516517723</v>
      </c>
      <c r="K15" s="80">
        <v>3161.1781084594181</v>
      </c>
      <c r="L15" s="85">
        <v>19.947547689117417</v>
      </c>
      <c r="M15" s="56">
        <v>3262.6224416846053</v>
      </c>
      <c r="N15" s="78">
        <v>19.880040752205776</v>
      </c>
      <c r="O15" s="56">
        <v>22058.448654771622</v>
      </c>
      <c r="P15" s="85">
        <v>7.3510666866212668</v>
      </c>
      <c r="Q15" s="80">
        <v>10938.514565323432</v>
      </c>
      <c r="R15" s="85">
        <v>10.605196443495439</v>
      </c>
      <c r="S15" s="56">
        <v>17359.157813270504</v>
      </c>
      <c r="T15" s="78">
        <v>8.4237526730567502</v>
      </c>
      <c r="U15" s="56">
        <v>7120.5635563200649</v>
      </c>
      <c r="V15" s="99">
        <v>14.078455908387873</v>
      </c>
    </row>
    <row r="16" spans="1:23" x14ac:dyDescent="0.2">
      <c r="A16" s="30" t="str">
        <f>VLOOKUP("&lt;Zeilentitel_2&gt;",Uebersetzungen!$B$3:$E$83,Uebersetzungen!$B$2+1,FALSE)</f>
        <v>Geschlecht</v>
      </c>
      <c r="B16" s="43" t="str">
        <f>VLOOKUP("&lt;Zeilentitel_2.1&gt;",Uebersetzungen!$B$3:$E$83,Uebersetzungen!$B$2+1,FALSE)</f>
        <v>Männer</v>
      </c>
      <c r="C16" s="105">
        <v>87537.999999998283</v>
      </c>
      <c r="D16" s="106">
        <v>2.8416627271316957</v>
      </c>
      <c r="E16" s="107">
        <v>58323.015866429843</v>
      </c>
      <c r="F16" s="108">
        <v>4.0408028797641942</v>
      </c>
      <c r="G16" s="105">
        <v>44615.197476458445</v>
      </c>
      <c r="H16" s="109">
        <v>4.8363954218171239</v>
      </c>
      <c r="I16" s="105">
        <v>18391.999490684648</v>
      </c>
      <c r="J16" s="106">
        <v>8.3114597319326258</v>
      </c>
      <c r="K16" s="110">
        <v>1874.5771217207637</v>
      </c>
      <c r="L16" s="106">
        <v>26.507808427864507</v>
      </c>
      <c r="M16" s="105">
        <v>1993.200313376715</v>
      </c>
      <c r="N16" s="109">
        <v>25.853193456785451</v>
      </c>
      <c r="O16" s="105">
        <v>12962.897218620843</v>
      </c>
      <c r="P16" s="106">
        <v>10.066353192509455</v>
      </c>
      <c r="Q16" s="110">
        <v>6199.48523647416</v>
      </c>
      <c r="R16" s="106">
        <v>14.595701307407984</v>
      </c>
      <c r="S16" s="105">
        <v>10043.423884720634</v>
      </c>
      <c r="T16" s="109">
        <v>11.490291472230119</v>
      </c>
      <c r="U16" s="105">
        <v>4533.6225819595575</v>
      </c>
      <c r="V16" s="111">
        <v>18.207133530576407</v>
      </c>
    </row>
    <row r="17" spans="1:22" x14ac:dyDescent="0.2">
      <c r="A17" s="31"/>
      <c r="B17" s="44" t="str">
        <f>VLOOKUP("&lt;Zeilentitel_2.2&gt;",Uebersetzungen!$B$3:$E$83,Uebersetzungen!$B$2+1,FALSE)</f>
        <v>Frauen</v>
      </c>
      <c r="C17" s="112">
        <v>87072.999999998618</v>
      </c>
      <c r="D17" s="113">
        <v>2.7106627575431776</v>
      </c>
      <c r="E17" s="74">
        <v>48637.121670516128</v>
      </c>
      <c r="F17" s="114">
        <v>4.3110575666710105</v>
      </c>
      <c r="G17" s="112">
        <v>38917.925694433572</v>
      </c>
      <c r="H17" s="73">
        <v>4.9802860299653471</v>
      </c>
      <c r="I17" s="112">
        <v>19336.402403701981</v>
      </c>
      <c r="J17" s="113">
        <v>7.7032425834173779</v>
      </c>
      <c r="K17" s="77">
        <v>1286.6009867386545</v>
      </c>
      <c r="L17" s="115">
        <v>30.532709661707081</v>
      </c>
      <c r="M17" s="116">
        <v>1269.4221283078903</v>
      </c>
      <c r="N17" s="76">
        <v>31.406075991998524</v>
      </c>
      <c r="O17" s="112">
        <v>9095.5514361507812</v>
      </c>
      <c r="P17" s="113">
        <v>11.547132900632048</v>
      </c>
      <c r="Q17" s="72">
        <v>4739.029328849273</v>
      </c>
      <c r="R17" s="113">
        <v>15.94401817077715</v>
      </c>
      <c r="S17" s="112">
        <v>7315.7339285498701</v>
      </c>
      <c r="T17" s="73">
        <v>13.086060559799673</v>
      </c>
      <c r="U17" s="112">
        <v>2586.9409743605074</v>
      </c>
      <c r="V17" s="117">
        <v>22.577492452595489</v>
      </c>
    </row>
    <row r="18" spans="1:22" x14ac:dyDescent="0.2">
      <c r="A18" s="32" t="str">
        <f>VLOOKUP("&lt;Zeilentitel_3&gt;",Uebersetzungen!$B$3:$E$83,Uebersetzungen!$B$2+1,FALSE)</f>
        <v>Alter</v>
      </c>
      <c r="B18" s="25" t="str">
        <f>VLOOKUP("&lt;Zeilentitel_3.1&gt;",Uebersetzungen!$B$3:$E$83,Uebersetzungen!$B$2+1,FALSE)</f>
        <v>15-24</v>
      </c>
      <c r="C18" s="57">
        <v>18796.999999999982</v>
      </c>
      <c r="D18" s="86">
        <v>8.3769939210268003</v>
      </c>
      <c r="E18" s="63">
        <v>9263.2378999463472</v>
      </c>
      <c r="F18" s="91">
        <v>12.353782168957872</v>
      </c>
      <c r="G18" s="57">
        <v>8152.7484626254491</v>
      </c>
      <c r="H18" s="62">
        <v>13.149958332644479</v>
      </c>
      <c r="I18" s="57">
        <v>3437.2586303497137</v>
      </c>
      <c r="J18" s="86">
        <v>20.898010254550552</v>
      </c>
      <c r="K18" s="61" t="s">
        <v>279</v>
      </c>
      <c r="L18" s="86" t="s">
        <v>279</v>
      </c>
      <c r="M18" s="93">
        <v>182.95109251721664</v>
      </c>
      <c r="N18" s="65">
        <v>86.473244492087474</v>
      </c>
      <c r="O18" s="87">
        <v>1671.4755238305468</v>
      </c>
      <c r="P18" s="88">
        <v>30.363791027075443</v>
      </c>
      <c r="Q18" s="66">
        <v>948.10564351914923</v>
      </c>
      <c r="R18" s="88">
        <v>39.497830583548527</v>
      </c>
      <c r="S18" s="87">
        <v>1689.2671000586379</v>
      </c>
      <c r="T18" s="65">
        <v>29.60303205692993</v>
      </c>
      <c r="U18" s="93">
        <v>746.59930418253373</v>
      </c>
      <c r="V18" s="101">
        <v>47.242758564852906</v>
      </c>
    </row>
    <row r="19" spans="1:22" x14ac:dyDescent="0.2">
      <c r="A19" s="33"/>
      <c r="B19" s="45" t="str">
        <f>VLOOKUP("&lt;Zeilentitel_3.2&gt;",Uebersetzungen!$B$3:$E$83,Uebersetzungen!$B$2+1,FALSE)</f>
        <v>25-44</v>
      </c>
      <c r="C19" s="57">
        <v>51462.999999999032</v>
      </c>
      <c r="D19" s="86">
        <v>4.4448967572291966</v>
      </c>
      <c r="E19" s="63">
        <v>44822.287313123576</v>
      </c>
      <c r="F19" s="91">
        <v>4.842211192996686</v>
      </c>
      <c r="G19" s="57">
        <v>35278.056463054891</v>
      </c>
      <c r="H19" s="62">
        <v>5.6004774505120443</v>
      </c>
      <c r="I19" s="57">
        <v>17045.751481453055</v>
      </c>
      <c r="J19" s="86">
        <v>8.6419428403754388</v>
      </c>
      <c r="K19" s="64">
        <v>1102.559343413752</v>
      </c>
      <c r="L19" s="88">
        <v>34.798133387954493</v>
      </c>
      <c r="M19" s="87">
        <v>1185.1525969542608</v>
      </c>
      <c r="N19" s="65">
        <v>33.890996922624467</v>
      </c>
      <c r="O19" s="57">
        <v>8852.5281704661629</v>
      </c>
      <c r="P19" s="86">
        <v>12.311356053106643</v>
      </c>
      <c r="Q19" s="61">
        <v>4195.2463891370435</v>
      </c>
      <c r="R19" s="86">
        <v>17.753387827874732</v>
      </c>
      <c r="S19" s="57">
        <v>9195.1829951093714</v>
      </c>
      <c r="T19" s="62">
        <v>12.075588407803933</v>
      </c>
      <c r="U19" s="57">
        <v>3144.6901447352438</v>
      </c>
      <c r="V19" s="100">
        <v>22.035806995131516</v>
      </c>
    </row>
    <row r="20" spans="1:22" x14ac:dyDescent="0.2">
      <c r="A20" s="34"/>
      <c r="B20" s="45" t="str">
        <f>VLOOKUP("&lt;Zeilentitel_3.3&gt;",Uebersetzungen!$B$3:$E$83,Uebersetzungen!$B$2+1,FALSE)</f>
        <v>45-64</v>
      </c>
      <c r="C20" s="57">
        <v>59159.999999999352</v>
      </c>
      <c r="D20" s="86">
        <v>3.741696772099647</v>
      </c>
      <c r="E20" s="63">
        <v>48598.711154179327</v>
      </c>
      <c r="F20" s="91">
        <v>4.3117751968688331</v>
      </c>
      <c r="G20" s="57">
        <v>36481.85094260714</v>
      </c>
      <c r="H20" s="62">
        <v>5.1770996894918984</v>
      </c>
      <c r="I20" s="57">
        <v>16070.470987452363</v>
      </c>
      <c r="J20" s="86">
        <v>8.4391837408795656</v>
      </c>
      <c r="K20" s="64">
        <v>1606.6633040575657</v>
      </c>
      <c r="L20" s="88">
        <v>27.566332820435051</v>
      </c>
      <c r="M20" s="57">
        <v>1700.3037524347842</v>
      </c>
      <c r="N20" s="62">
        <v>27.3070624448515</v>
      </c>
      <c r="O20" s="57">
        <v>10630.178484489747</v>
      </c>
      <c r="P20" s="86">
        <v>10.693887874957429</v>
      </c>
      <c r="Q20" s="61">
        <v>5408.0512653948163</v>
      </c>
      <c r="R20" s="86">
        <v>14.996986041430581</v>
      </c>
      <c r="S20" s="57">
        <v>5955.1096024165499</v>
      </c>
      <c r="T20" s="62">
        <v>14.304406468229073</v>
      </c>
      <c r="U20" s="57">
        <v>3121.3875226732439</v>
      </c>
      <c r="V20" s="100">
        <v>20.480211368268673</v>
      </c>
    </row>
    <row r="21" spans="1:22" x14ac:dyDescent="0.2">
      <c r="A21" s="34"/>
      <c r="B21" s="45" t="str">
        <f>VLOOKUP("&lt;Zeilentitel_3.4&gt;",Uebersetzungen!$B$3:$E$83,Uebersetzungen!$B$2+1,FALSE)</f>
        <v>65 und älter</v>
      </c>
      <c r="C21" s="57">
        <v>45190.99999999888</v>
      </c>
      <c r="D21" s="86">
        <v>4.5137334996911402</v>
      </c>
      <c r="E21" s="63">
        <v>4275.9011696967336</v>
      </c>
      <c r="F21" s="91">
        <v>16.642229945767468</v>
      </c>
      <c r="G21" s="57">
        <v>3620.4673026044866</v>
      </c>
      <c r="H21" s="62">
        <v>18.084312848780904</v>
      </c>
      <c r="I21" s="87">
        <v>1174.9207951314884</v>
      </c>
      <c r="J21" s="88">
        <v>32.131963187163443</v>
      </c>
      <c r="K21" s="66">
        <v>305.05784638871131</v>
      </c>
      <c r="L21" s="88">
        <v>64.463366072244156</v>
      </c>
      <c r="M21" s="93">
        <v>194.21499977834281</v>
      </c>
      <c r="N21" s="65">
        <v>78.859469848752454</v>
      </c>
      <c r="O21" s="93">
        <v>904.26647598516251</v>
      </c>
      <c r="P21" s="88">
        <v>36.662166846894735</v>
      </c>
      <c r="Q21" s="66">
        <v>387.11126727242646</v>
      </c>
      <c r="R21" s="88">
        <v>55.79921383341518</v>
      </c>
      <c r="S21" s="93">
        <v>519.59811568593841</v>
      </c>
      <c r="T21" s="65">
        <v>48.309811211391263</v>
      </c>
      <c r="U21" s="57" t="s">
        <v>279</v>
      </c>
      <c r="V21" s="100" t="s">
        <v>279</v>
      </c>
    </row>
    <row r="22" spans="1:22" x14ac:dyDescent="0.2">
      <c r="A22" s="30" t="str">
        <f>VLOOKUP("&lt;Zeilentitel_4&gt;",Uebersetzungen!$B$3:$E$83,Uebersetzungen!$B$2+1,FALSE)</f>
        <v>Staatsangehörigkeit</v>
      </c>
      <c r="B22" s="43" t="str">
        <f>VLOOKUP("&lt;Zeilentitel_4.1&gt;",Uebersetzungen!$B$3:$E$83,Uebersetzungen!$B$2+1,FALSE)</f>
        <v>Schweiz</v>
      </c>
      <c r="C22" s="105">
        <v>139295.99999999686</v>
      </c>
      <c r="D22" s="106">
        <v>1.3380059828042621</v>
      </c>
      <c r="E22" s="107">
        <v>81960.895710868921</v>
      </c>
      <c r="F22" s="108">
        <v>2.8834762803351612</v>
      </c>
      <c r="G22" s="105">
        <v>72727.981481541923</v>
      </c>
      <c r="H22" s="109">
        <v>3.2122067738527735</v>
      </c>
      <c r="I22" s="105">
        <v>24408.123399403987</v>
      </c>
      <c r="J22" s="106">
        <v>6.7423892676492816</v>
      </c>
      <c r="K22" s="110">
        <v>2634.8203308670572</v>
      </c>
      <c r="L22" s="106">
        <v>21.82081996621681</v>
      </c>
      <c r="M22" s="105">
        <v>2949.9143721945434</v>
      </c>
      <c r="N22" s="109">
        <v>20.793958007140748</v>
      </c>
      <c r="O22" s="105">
        <v>13275.372963523312</v>
      </c>
      <c r="P22" s="106">
        <v>9.5016580661838876</v>
      </c>
      <c r="Q22" s="110">
        <v>10181.487082601376</v>
      </c>
      <c r="R22" s="106">
        <v>10.974725832975832</v>
      </c>
      <c r="S22" s="105">
        <v>12197.257083736919</v>
      </c>
      <c r="T22" s="109">
        <v>10.084708012435867</v>
      </c>
      <c r="U22" s="105">
        <v>1952.8102724436974</v>
      </c>
      <c r="V22" s="111">
        <v>25.85349877441876</v>
      </c>
    </row>
    <row r="23" spans="1:22" x14ac:dyDescent="0.2">
      <c r="A23" s="32"/>
      <c r="B23" s="45" t="str">
        <f>VLOOKUP("&lt;Zeilentitel_4.2&gt;",Uebersetzungen!$B$3:$E$83,Uebersetzungen!$B$2+1,FALSE)</f>
        <v>EU und EFTA</v>
      </c>
      <c r="C23" s="57">
        <v>27958.370138491267</v>
      </c>
      <c r="D23" s="86">
        <v>6.6025354696032874</v>
      </c>
      <c r="E23" s="63">
        <v>21401.560900318349</v>
      </c>
      <c r="F23" s="91">
        <v>7.7311850763882246</v>
      </c>
      <c r="G23" s="57">
        <v>8726.2361355337453</v>
      </c>
      <c r="H23" s="62">
        <v>12.635727937313851</v>
      </c>
      <c r="I23" s="57">
        <v>11186.190935352452</v>
      </c>
      <c r="J23" s="86">
        <v>10.956793363518644</v>
      </c>
      <c r="K23" s="66">
        <v>492.12118680057148</v>
      </c>
      <c r="L23" s="88">
        <v>51.726502378215059</v>
      </c>
      <c r="M23" s="93">
        <v>269.85107669909007</v>
      </c>
      <c r="N23" s="65">
        <v>73.159242398669178</v>
      </c>
      <c r="O23" s="57">
        <v>8563.9369871576946</v>
      </c>
      <c r="P23" s="86">
        <v>12.673011011281492</v>
      </c>
      <c r="Q23" s="66">
        <v>720.21411231288369</v>
      </c>
      <c r="R23" s="88">
        <v>44.706924065565595</v>
      </c>
      <c r="S23" s="57">
        <v>4362.5382825166726</v>
      </c>
      <c r="T23" s="62">
        <v>17.900751925120606</v>
      </c>
      <c r="U23" s="57">
        <v>4527.7281010164215</v>
      </c>
      <c r="V23" s="100">
        <v>17.999880794000276</v>
      </c>
    </row>
    <row r="24" spans="1:22" x14ac:dyDescent="0.2">
      <c r="A24" s="32"/>
      <c r="B24" s="45" t="str">
        <f>VLOOKUP("&lt;Zeilentitel_4.3&gt;",Uebersetzungen!$B$3:$E$83,Uebersetzungen!$B$2+1,FALSE)</f>
        <v>Anderer europäischer Staat</v>
      </c>
      <c r="C24" s="57">
        <v>3796.6133258198633</v>
      </c>
      <c r="D24" s="86">
        <v>20.62741191471196</v>
      </c>
      <c r="E24" s="67">
        <v>1663.4579463823716</v>
      </c>
      <c r="F24" s="92">
        <v>30.944572783646116</v>
      </c>
      <c r="G24" s="87">
        <v>1048.5853077059573</v>
      </c>
      <c r="H24" s="65">
        <v>40.01755338826446</v>
      </c>
      <c r="I24" s="93">
        <v>731.83208758225817</v>
      </c>
      <c r="J24" s="88">
        <v>46.245898762378438</v>
      </c>
      <c r="K24" s="61" t="s">
        <v>279</v>
      </c>
      <c r="L24" s="86" t="s">
        <v>279</v>
      </c>
      <c r="M24" s="57" t="s">
        <v>279</v>
      </c>
      <c r="N24" s="62" t="s">
        <v>279</v>
      </c>
      <c r="O24" s="57" t="s">
        <v>279</v>
      </c>
      <c r="P24" s="86" t="s">
        <v>279</v>
      </c>
      <c r="Q24" s="61" t="s">
        <v>279</v>
      </c>
      <c r="R24" s="86" t="s">
        <v>279</v>
      </c>
      <c r="S24" s="93">
        <v>379.81262528559921</v>
      </c>
      <c r="T24" s="65">
        <v>61.584356831158622</v>
      </c>
      <c r="U24" s="93">
        <v>284.12151260356541</v>
      </c>
      <c r="V24" s="101">
        <v>79.096995186422106</v>
      </c>
    </row>
    <row r="25" spans="1:22" x14ac:dyDescent="0.2">
      <c r="A25" s="32"/>
      <c r="B25" s="45" t="str">
        <f>VLOOKUP("&lt;Zeilentitel_4.4&gt;",Uebersetzungen!$B$3:$E$83,Uebersetzungen!$B$2+1,FALSE)</f>
        <v>Andere Staaten</v>
      </c>
      <c r="C25" s="57">
        <v>3560.0165356888847</v>
      </c>
      <c r="D25" s="86">
        <v>20.772325995727456</v>
      </c>
      <c r="E25" s="67">
        <v>1934.222979376425</v>
      </c>
      <c r="F25" s="92">
        <v>28.496837219543227</v>
      </c>
      <c r="G25" s="87">
        <v>1030.3202461105236</v>
      </c>
      <c r="H25" s="65">
        <v>39.943749643154689</v>
      </c>
      <c r="I25" s="87">
        <v>1402.2554720479034</v>
      </c>
      <c r="J25" s="88">
        <v>33.600478426821205</v>
      </c>
      <c r="K25" s="61" t="s">
        <v>279</v>
      </c>
      <c r="L25" s="86" t="s">
        <v>279</v>
      </c>
      <c r="M25" s="57" t="s">
        <v>279</v>
      </c>
      <c r="N25" s="62" t="s">
        <v>279</v>
      </c>
      <c r="O25" s="57" t="s">
        <v>279</v>
      </c>
      <c r="P25" s="86" t="s">
        <v>279</v>
      </c>
      <c r="Q25" s="61" t="s">
        <v>279</v>
      </c>
      <c r="R25" s="86" t="s">
        <v>279</v>
      </c>
      <c r="S25" s="93">
        <v>419.54982173131361</v>
      </c>
      <c r="T25" s="65">
        <v>58.569799917574926</v>
      </c>
      <c r="U25" s="93">
        <v>355.90367025638068</v>
      </c>
      <c r="V25" s="101">
        <v>65.85179538950247</v>
      </c>
    </row>
    <row r="26" spans="1:22" x14ac:dyDescent="0.2">
      <c r="A26" s="31"/>
      <c r="B26" s="45" t="str">
        <f>VLOOKUP("&lt;Zeilentitel_4.5&gt;",Uebersetzungen!$B$3:$E$83,Uebersetzungen!$B$2+1,FALSE)</f>
        <v>Staatsangehörigkeit unbekannt</v>
      </c>
      <c r="C26" s="112" t="s">
        <v>279</v>
      </c>
      <c r="D26" s="113" t="s">
        <v>279</v>
      </c>
      <c r="E26" s="74" t="s">
        <v>279</v>
      </c>
      <c r="F26" s="114" t="s">
        <v>279</v>
      </c>
      <c r="G26" s="112" t="s">
        <v>279</v>
      </c>
      <c r="H26" s="73" t="s">
        <v>279</v>
      </c>
      <c r="I26" s="112" t="s">
        <v>279</v>
      </c>
      <c r="J26" s="113" t="s">
        <v>279</v>
      </c>
      <c r="K26" s="72" t="s">
        <v>279</v>
      </c>
      <c r="L26" s="113" t="s">
        <v>279</v>
      </c>
      <c r="M26" s="112" t="s">
        <v>279</v>
      </c>
      <c r="N26" s="73" t="s">
        <v>279</v>
      </c>
      <c r="O26" s="112" t="s">
        <v>279</v>
      </c>
      <c r="P26" s="113" t="s">
        <v>279</v>
      </c>
      <c r="Q26" s="72" t="s">
        <v>279</v>
      </c>
      <c r="R26" s="113" t="s">
        <v>279</v>
      </c>
      <c r="S26" s="112" t="s">
        <v>279</v>
      </c>
      <c r="T26" s="73" t="s">
        <v>279</v>
      </c>
      <c r="U26" s="112" t="s">
        <v>279</v>
      </c>
      <c r="V26" s="117" t="s">
        <v>279</v>
      </c>
    </row>
    <row r="27" spans="1:22" x14ac:dyDescent="0.2">
      <c r="A27" s="30" t="str">
        <f>VLOOKUP("&lt;Zeilentitel_5&gt;",Uebersetzungen!$B$3:$E$83,Uebersetzungen!$B$2+1,FALSE)</f>
        <v>Migrationsstatus</v>
      </c>
      <c r="B27" s="43" t="str">
        <f>VLOOKUP("&lt;Zeilentitel_5.1&gt;",Uebersetzungen!$B$3:$E$83,Uebersetzungen!$B$2+1,FALSE)</f>
        <v>Schweizer/innen ohne Migrationshintergrund</v>
      </c>
      <c r="C27" s="57">
        <v>120977.06466215999</v>
      </c>
      <c r="D27" s="86">
        <v>1.7908926997663919</v>
      </c>
      <c r="E27" s="63">
        <v>71489.444347959274</v>
      </c>
      <c r="F27" s="91">
        <v>3.2675204300893315</v>
      </c>
      <c r="G27" s="57">
        <v>64740.095994292009</v>
      </c>
      <c r="H27" s="62">
        <v>3.5437314996527829</v>
      </c>
      <c r="I27" s="57">
        <v>20137.900219907988</v>
      </c>
      <c r="J27" s="86">
        <v>7.5523023524621893</v>
      </c>
      <c r="K27" s="61">
        <v>2343.4313438881154</v>
      </c>
      <c r="L27" s="86">
        <v>23.222466194569872</v>
      </c>
      <c r="M27" s="57">
        <v>2711.5776207422605</v>
      </c>
      <c r="N27" s="62">
        <v>21.719473710032858</v>
      </c>
      <c r="O27" s="57">
        <v>10578.673423746472</v>
      </c>
      <c r="P27" s="86">
        <v>10.740183378465831</v>
      </c>
      <c r="Q27" s="61">
        <v>9882.3558222957763</v>
      </c>
      <c r="R27" s="86">
        <v>11.157411580815509</v>
      </c>
      <c r="S27" s="57">
        <v>10745.979312132955</v>
      </c>
      <c r="T27" s="62">
        <v>10.823482020276696</v>
      </c>
      <c r="U27" s="87">
        <v>1119.1619699259095</v>
      </c>
      <c r="V27" s="101">
        <v>34.267258696014885</v>
      </c>
    </row>
    <row r="28" spans="1:22" x14ac:dyDescent="0.2">
      <c r="A28" s="32"/>
      <c r="B28" s="45" t="str">
        <f>VLOOKUP("&lt;Zeilentitel_5.2&gt;",Uebersetzungen!$B$3:$E$83,Uebersetzungen!$B$2+1,FALSE)</f>
        <v>Schweizer/innen mit Migrationshintergrund</v>
      </c>
      <c r="C28" s="57">
        <v>17229.463930897578</v>
      </c>
      <c r="D28" s="86">
        <v>8.1676596389216289</v>
      </c>
      <c r="E28" s="63">
        <v>10125.432077023192</v>
      </c>
      <c r="F28" s="91">
        <v>10.860124446686935</v>
      </c>
      <c r="G28" s="57">
        <v>7673.277164984579</v>
      </c>
      <c r="H28" s="62">
        <v>12.570500408208876</v>
      </c>
      <c r="I28" s="57">
        <v>4270.2231794960071</v>
      </c>
      <c r="J28" s="86">
        <v>16.950699303242267</v>
      </c>
      <c r="K28" s="66">
        <v>291.38898697894132</v>
      </c>
      <c r="L28" s="88">
        <v>64.588668541803301</v>
      </c>
      <c r="M28" s="93">
        <v>238.3367514522823</v>
      </c>
      <c r="N28" s="65">
        <v>73.132231015864875</v>
      </c>
      <c r="O28" s="57">
        <v>2665.2885761556181</v>
      </c>
      <c r="P28" s="86">
        <v>21.856082372428329</v>
      </c>
      <c r="Q28" s="66">
        <v>299.13126030559988</v>
      </c>
      <c r="R28" s="88">
        <v>64.499460254181685</v>
      </c>
      <c r="S28" s="87">
        <v>1451.2777716039632</v>
      </c>
      <c r="T28" s="65">
        <v>29.525180604274126</v>
      </c>
      <c r="U28" s="93">
        <v>833.64830251778778</v>
      </c>
      <c r="V28" s="101">
        <v>39.641857387714857</v>
      </c>
    </row>
    <row r="29" spans="1:22" x14ac:dyDescent="0.2">
      <c r="A29" s="32"/>
      <c r="B29" s="45" t="str">
        <f>VLOOKUP("&lt;Zeilentitel_5.3&gt;",Uebersetzungen!$B$3:$E$83,Uebersetzungen!$B$2+1,FALSE)</f>
        <v>Ausländer/innen der ersten Generation</v>
      </c>
      <c r="C29" s="57">
        <v>33029.912874495312</v>
      </c>
      <c r="D29" s="86">
        <v>6.0597300136581715</v>
      </c>
      <c r="E29" s="63">
        <v>23568.440852261432</v>
      </c>
      <c r="F29" s="91">
        <v>7.3734199890913237</v>
      </c>
      <c r="G29" s="57">
        <v>9647.3321594648824</v>
      </c>
      <c r="H29" s="62">
        <v>12.119163105549317</v>
      </c>
      <c r="I29" s="57">
        <v>12770.368483618462</v>
      </c>
      <c r="J29" s="86">
        <v>10.295277347830439</v>
      </c>
      <c r="K29" s="66">
        <v>461.72528798682265</v>
      </c>
      <c r="L29" s="88">
        <v>53.663059787530756</v>
      </c>
      <c r="M29" s="93">
        <v>270.40554001583325</v>
      </c>
      <c r="N29" s="65">
        <v>73.173904253601648</v>
      </c>
      <c r="O29" s="57">
        <v>8421.8909039939717</v>
      </c>
      <c r="P29" s="86">
        <v>12.798904403654133</v>
      </c>
      <c r="Q29" s="66">
        <v>706.57804548989429</v>
      </c>
      <c r="R29" s="88">
        <v>44.58620313452866</v>
      </c>
      <c r="S29" s="57">
        <v>4964.5813496575083</v>
      </c>
      <c r="T29" s="62">
        <v>16.746405978329804</v>
      </c>
      <c r="U29" s="57">
        <v>4965.6965877548246</v>
      </c>
      <c r="V29" s="100">
        <v>17.272287479199683</v>
      </c>
    </row>
    <row r="30" spans="1:22" ht="25.5" x14ac:dyDescent="0.2">
      <c r="A30" s="32"/>
      <c r="B30" s="45" t="str">
        <f>VLOOKUP("&lt;Zeilentitel_5.4&gt;",Uebersetzungen!$B$3:$E$83,Uebersetzungen!$B$2+1,FALSE)</f>
        <v>Ausländer/innen der zweiten und höheren Generation</v>
      </c>
      <c r="C30" s="57">
        <v>2242.1687357672199</v>
      </c>
      <c r="D30" s="86">
        <v>25.999294713757738</v>
      </c>
      <c r="E30" s="67">
        <v>1430.8009738157064</v>
      </c>
      <c r="F30" s="92">
        <v>32.552539557330007</v>
      </c>
      <c r="G30" s="87">
        <v>1157.8095298853509</v>
      </c>
      <c r="H30" s="65">
        <v>36.867724045959754</v>
      </c>
      <c r="I30" s="93">
        <v>549.91001136416014</v>
      </c>
      <c r="J30" s="88">
        <v>52.530056884396949</v>
      </c>
      <c r="K30" s="61" t="s">
        <v>279</v>
      </c>
      <c r="L30" s="86" t="s">
        <v>279</v>
      </c>
      <c r="M30" s="57" t="s">
        <v>279</v>
      </c>
      <c r="N30" s="62" t="s">
        <v>279</v>
      </c>
      <c r="O30" s="93">
        <v>361.1847872543255</v>
      </c>
      <c r="P30" s="88">
        <v>65.193940379796629</v>
      </c>
      <c r="Q30" s="61" t="s">
        <v>279</v>
      </c>
      <c r="R30" s="86" t="s">
        <v>279</v>
      </c>
      <c r="S30" s="93">
        <v>197.319379876075</v>
      </c>
      <c r="T30" s="65">
        <v>87.402030774368427</v>
      </c>
      <c r="U30" s="93">
        <v>202.0566961215423</v>
      </c>
      <c r="V30" s="101">
        <v>87.161871864516172</v>
      </c>
    </row>
    <row r="31" spans="1:22" x14ac:dyDescent="0.2">
      <c r="A31" s="31"/>
      <c r="B31" s="45" t="str">
        <f>VLOOKUP("&lt;Zeilentitel_5.5&gt;",Uebersetzungen!$B$3:$E$83,Uebersetzungen!$B$2+1,FALSE)</f>
        <v>Migrationshintergrund unbekannt</v>
      </c>
      <c r="C31" s="87">
        <v>1132.389796676722</v>
      </c>
      <c r="D31" s="88">
        <v>34.31028951458643</v>
      </c>
      <c r="E31" s="68">
        <v>346.01928588647337</v>
      </c>
      <c r="F31" s="92">
        <v>61.381692226054518</v>
      </c>
      <c r="G31" s="93">
        <v>314.60832226524792</v>
      </c>
      <c r="H31" s="65">
        <v>64.707949698648662</v>
      </c>
      <c r="I31" s="57" t="s">
        <v>279</v>
      </c>
      <c r="J31" s="86" t="s">
        <v>279</v>
      </c>
      <c r="K31" s="61" t="s">
        <v>279</v>
      </c>
      <c r="L31" s="86" t="s">
        <v>279</v>
      </c>
      <c r="M31" s="57" t="s">
        <v>279</v>
      </c>
      <c r="N31" s="62" t="s">
        <v>279</v>
      </c>
      <c r="O31" s="57" t="s">
        <v>279</v>
      </c>
      <c r="P31" s="86" t="s">
        <v>279</v>
      </c>
      <c r="Q31" s="61" t="s">
        <v>279</v>
      </c>
      <c r="R31" s="86" t="s">
        <v>279</v>
      </c>
      <c r="S31" s="57" t="s">
        <v>279</v>
      </c>
      <c r="T31" s="62" t="s">
        <v>279</v>
      </c>
      <c r="U31" s="57" t="s">
        <v>279</v>
      </c>
      <c r="V31" s="100" t="s">
        <v>279</v>
      </c>
    </row>
    <row r="32" spans="1:22" x14ac:dyDescent="0.2">
      <c r="A32" s="30" t="str">
        <f>VLOOKUP("&lt;Zeilentitel_6&gt;",Uebersetzungen!$B$3:$E$83,Uebersetzungen!$B$2+1,FALSE)</f>
        <v>Arbeitsmarktstatus</v>
      </c>
      <c r="B32" s="43" t="str">
        <f>VLOOKUP("&lt;Zeilentitel_6.1&gt;",Uebersetzungen!$B$3:$E$83,Uebersetzungen!$B$2+1,FALSE)</f>
        <v>Vollzeiterwerbstätige (90-100%)</v>
      </c>
      <c r="C32" s="105">
        <v>73732.305612320546</v>
      </c>
      <c r="D32" s="106">
        <v>3.3256681094667635</v>
      </c>
      <c r="E32" s="107">
        <v>73732.305612320546</v>
      </c>
      <c r="F32" s="108">
        <v>3.3256681094667635</v>
      </c>
      <c r="G32" s="105">
        <v>56057.60099952756</v>
      </c>
      <c r="H32" s="109">
        <v>4.0892698382408117</v>
      </c>
      <c r="I32" s="105">
        <v>25486.294751378169</v>
      </c>
      <c r="J32" s="106">
        <v>6.8254697903483637</v>
      </c>
      <c r="K32" s="110">
        <v>2126.0711307467873</v>
      </c>
      <c r="L32" s="106">
        <v>24.495022088096619</v>
      </c>
      <c r="M32" s="105">
        <v>2525.7668013163038</v>
      </c>
      <c r="N32" s="109">
        <v>22.760158112814771</v>
      </c>
      <c r="O32" s="105">
        <v>16337.249273762203</v>
      </c>
      <c r="P32" s="106">
        <v>8.7821101208568599</v>
      </c>
      <c r="Q32" s="110">
        <v>7113.111383251231</v>
      </c>
      <c r="R32" s="106">
        <v>13.498119446012209</v>
      </c>
      <c r="S32" s="105">
        <v>12747.589350449001</v>
      </c>
      <c r="T32" s="109">
        <v>10.058209258363709</v>
      </c>
      <c r="U32" s="105">
        <v>5885.5450273672277</v>
      </c>
      <c r="V32" s="111">
        <v>15.663386194229552</v>
      </c>
    </row>
    <row r="33" spans="1:22" x14ac:dyDescent="0.2">
      <c r="A33" s="32"/>
      <c r="B33" s="45" t="str">
        <f>VLOOKUP("&lt;Zeilentitel_6.2&gt;",Uebersetzungen!$B$3:$E$83,Uebersetzungen!$B$2+1,FALSE)</f>
        <v>Teilzeiterwerbstätige I (70-89%)</v>
      </c>
      <c r="C33" s="57">
        <v>11116.918069643281</v>
      </c>
      <c r="D33" s="86">
        <v>10.329133021372272</v>
      </c>
      <c r="E33" s="63">
        <v>11116.918069643281</v>
      </c>
      <c r="F33" s="91">
        <v>10.329133021372272</v>
      </c>
      <c r="G33" s="57">
        <v>8993.4627855680374</v>
      </c>
      <c r="H33" s="62">
        <v>11.519122953141641</v>
      </c>
      <c r="I33" s="57">
        <v>4764.7897524338177</v>
      </c>
      <c r="J33" s="86">
        <v>16.344130642993253</v>
      </c>
      <c r="K33" s="66">
        <v>473.23960471946526</v>
      </c>
      <c r="L33" s="88">
        <v>52.083516055363347</v>
      </c>
      <c r="M33" s="93">
        <v>225.14285134948722</v>
      </c>
      <c r="N33" s="65">
        <v>79.450067101141556</v>
      </c>
      <c r="O33" s="57">
        <v>1969.5996968747052</v>
      </c>
      <c r="P33" s="86">
        <v>25.687510472372601</v>
      </c>
      <c r="Q33" s="64">
        <v>1235.4247880554574</v>
      </c>
      <c r="R33" s="88">
        <v>31.849064338948288</v>
      </c>
      <c r="S33" s="57">
        <v>1838.9072249136595</v>
      </c>
      <c r="T33" s="62">
        <v>26.437398364066517</v>
      </c>
      <c r="U33" s="93">
        <v>536.17934329848663</v>
      </c>
      <c r="V33" s="101">
        <v>50.442477815516199</v>
      </c>
    </row>
    <row r="34" spans="1:22" x14ac:dyDescent="0.2">
      <c r="A34" s="32"/>
      <c r="B34" s="45" t="str">
        <f>VLOOKUP("&lt;Zeilentitel_6.3&gt;",Uebersetzungen!$B$3:$E$83,Uebersetzungen!$B$2+1,FALSE)</f>
        <v>Teilzeiterwerbstätige II (50-69%)</v>
      </c>
      <c r="C34" s="57">
        <v>9675.7799527178995</v>
      </c>
      <c r="D34" s="86">
        <v>11.029495718684748</v>
      </c>
      <c r="E34" s="63">
        <v>9675.7799527178995</v>
      </c>
      <c r="F34" s="91">
        <v>11.029495718684748</v>
      </c>
      <c r="G34" s="57">
        <v>7703.4686508467885</v>
      </c>
      <c r="H34" s="62">
        <v>12.33781459286806</v>
      </c>
      <c r="I34" s="57">
        <v>3669.5618140970073</v>
      </c>
      <c r="J34" s="86">
        <v>18.438171251327731</v>
      </c>
      <c r="K34" s="66">
        <v>230.22824248619366</v>
      </c>
      <c r="L34" s="88">
        <v>73.072075120223786</v>
      </c>
      <c r="M34" s="93">
        <v>165.68524599699367</v>
      </c>
      <c r="N34" s="65">
        <v>86.650381287824629</v>
      </c>
      <c r="O34" s="57">
        <v>1811.7048698810545</v>
      </c>
      <c r="P34" s="86">
        <v>26.402934563858029</v>
      </c>
      <c r="Q34" s="64">
        <v>1206.1958293358543</v>
      </c>
      <c r="R34" s="88">
        <v>31.784374256146705</v>
      </c>
      <c r="S34" s="87">
        <v>1347.0343236244589</v>
      </c>
      <c r="T34" s="65">
        <v>30.593385964734612</v>
      </c>
      <c r="U34" s="93">
        <v>378.71492613170784</v>
      </c>
      <c r="V34" s="101">
        <v>58.994761308203948</v>
      </c>
    </row>
    <row r="35" spans="1:22" x14ac:dyDescent="0.2">
      <c r="A35" s="31"/>
      <c r="B35" s="45" t="str">
        <f>VLOOKUP("&lt;Zeilentitel_6.4&gt;",Uebersetzungen!$B$3:$E$83,Uebersetzungen!$B$2+1,FALSE)</f>
        <v>Teilzeiterwerbstätige III (weniger als 50%)</v>
      </c>
      <c r="C35" s="112">
        <v>12435.133902264337</v>
      </c>
      <c r="D35" s="113">
        <v>9.6821698692154143</v>
      </c>
      <c r="E35" s="74">
        <v>12435.133902264337</v>
      </c>
      <c r="F35" s="114">
        <v>9.6821698692154143</v>
      </c>
      <c r="G35" s="112">
        <v>10778.590734949685</v>
      </c>
      <c r="H35" s="73">
        <v>10.417318447387876</v>
      </c>
      <c r="I35" s="112">
        <v>3807.7555764775971</v>
      </c>
      <c r="J35" s="113">
        <v>18.082063580636891</v>
      </c>
      <c r="K35" s="75">
        <v>331.63913050697238</v>
      </c>
      <c r="L35" s="115">
        <v>61.179027840529571</v>
      </c>
      <c r="M35" s="118">
        <v>346.02754302182046</v>
      </c>
      <c r="N35" s="76">
        <v>58.271915307897451</v>
      </c>
      <c r="O35" s="112">
        <v>1939.8948142536638</v>
      </c>
      <c r="P35" s="113">
        <v>25.372220621494421</v>
      </c>
      <c r="Q35" s="77">
        <v>1383.7825646808931</v>
      </c>
      <c r="R35" s="115">
        <v>29.801610336254118</v>
      </c>
      <c r="S35" s="116">
        <v>1425.6269142833819</v>
      </c>
      <c r="T35" s="76">
        <v>30.302116706881929</v>
      </c>
      <c r="U35" s="118">
        <v>320.12425952264357</v>
      </c>
      <c r="V35" s="119">
        <v>65.253220856659112</v>
      </c>
    </row>
    <row r="36" spans="1:22" x14ac:dyDescent="0.2">
      <c r="A36" s="32" t="str">
        <f>VLOOKUP("&lt;Zeilentitel_7&gt;",Uebersetzungen!$B$3:$E$83,Uebersetzungen!$B$2+1,FALSE)</f>
        <v>Sozioprofessionelle Kategorien</v>
      </c>
      <c r="B36" s="43" t="str">
        <f>VLOOKUP("&lt;Zeilentitel_7.1&gt;",Uebersetzungen!$B$3:$E$83,Uebersetzungen!$B$2+1,FALSE)</f>
        <v>Oberstes Management</v>
      </c>
      <c r="C36" s="57">
        <v>2692.4614986601086</v>
      </c>
      <c r="D36" s="86">
        <v>21.746551361625539</v>
      </c>
      <c r="E36" s="63">
        <v>2692.4614986601086</v>
      </c>
      <c r="F36" s="91">
        <v>21.746551361625539</v>
      </c>
      <c r="G36" s="57">
        <v>2037.8696526575961</v>
      </c>
      <c r="H36" s="62">
        <v>24.981315663285855</v>
      </c>
      <c r="I36" s="87">
        <v>1194.7945874089528</v>
      </c>
      <c r="J36" s="88">
        <v>33.459071683557795</v>
      </c>
      <c r="K36" s="66">
        <v>228.93953131268239</v>
      </c>
      <c r="L36" s="88">
        <v>73.180834996473251</v>
      </c>
      <c r="M36" s="57" t="s">
        <v>279</v>
      </c>
      <c r="N36" s="62" t="s">
        <v>279</v>
      </c>
      <c r="O36" s="93">
        <v>663.65015709038846</v>
      </c>
      <c r="P36" s="88">
        <v>43.296048853383155</v>
      </c>
      <c r="Q36" s="66">
        <v>228.33719027285105</v>
      </c>
      <c r="R36" s="88">
        <v>73.040747086780016</v>
      </c>
      <c r="S36" s="93">
        <v>558.62684977862591</v>
      </c>
      <c r="T36" s="65">
        <v>46.987398356965734</v>
      </c>
      <c r="U36" s="93">
        <v>284.46235512071416</v>
      </c>
      <c r="V36" s="101">
        <v>68.721752958618509</v>
      </c>
    </row>
    <row r="37" spans="1:22" x14ac:dyDescent="0.2">
      <c r="A37" s="33"/>
      <c r="B37" s="45" t="str">
        <f>VLOOKUP("&lt;Zeilentitel_7.2&gt;",Uebersetzungen!$B$3:$E$83,Uebersetzungen!$B$2+1,FALSE)</f>
        <v>Freie und gleichgestellte Berufe</v>
      </c>
      <c r="C37" s="57">
        <v>2805.8072395718664</v>
      </c>
      <c r="D37" s="86">
        <v>21.179835407272375</v>
      </c>
      <c r="E37" s="63">
        <v>2805.8072395718664</v>
      </c>
      <c r="F37" s="91">
        <v>21.179835407272375</v>
      </c>
      <c r="G37" s="57">
        <v>2012.6417284255267</v>
      </c>
      <c r="H37" s="62">
        <v>24.902106001687446</v>
      </c>
      <c r="I37" s="87">
        <v>1279.8557825556202</v>
      </c>
      <c r="J37" s="88">
        <v>31.363628997725495</v>
      </c>
      <c r="K37" s="66">
        <v>268.22919358214273</v>
      </c>
      <c r="L37" s="88">
        <v>68.560057906751041</v>
      </c>
      <c r="M37" s="57" t="s">
        <v>279</v>
      </c>
      <c r="N37" s="62" t="s">
        <v>279</v>
      </c>
      <c r="O37" s="93">
        <v>936.74558335457414</v>
      </c>
      <c r="P37" s="88">
        <v>36.820003693403457</v>
      </c>
      <c r="Q37" s="66">
        <v>379.04225436677666</v>
      </c>
      <c r="R37" s="88">
        <v>58.375606298467929</v>
      </c>
      <c r="S37" s="93">
        <v>926.18673125868906</v>
      </c>
      <c r="T37" s="65">
        <v>37.249075364491688</v>
      </c>
      <c r="U37" s="57" t="s">
        <v>279</v>
      </c>
      <c r="V37" s="100" t="s">
        <v>279</v>
      </c>
    </row>
    <row r="38" spans="1:22" x14ac:dyDescent="0.2">
      <c r="A38" s="34"/>
      <c r="B38" s="45" t="str">
        <f>VLOOKUP("&lt;Zeilentitel_7.3&gt;",Uebersetzungen!$B$3:$E$83,Uebersetzungen!$B$2+1,FALSE)</f>
        <v>Andere Selbstständige</v>
      </c>
      <c r="C38" s="57">
        <v>12242.053867118348</v>
      </c>
      <c r="D38" s="86">
        <v>10.034434969579337</v>
      </c>
      <c r="E38" s="63">
        <v>12242.053867118348</v>
      </c>
      <c r="F38" s="91">
        <v>10.034434969579337</v>
      </c>
      <c r="G38" s="57">
        <v>10119.441361652342</v>
      </c>
      <c r="H38" s="62">
        <v>11.048998906772981</v>
      </c>
      <c r="I38" s="57">
        <v>2666.0069461870994</v>
      </c>
      <c r="J38" s="86">
        <v>22.121183917180041</v>
      </c>
      <c r="K38" s="66">
        <v>334.56377194540676</v>
      </c>
      <c r="L38" s="88">
        <v>61.375381526862022</v>
      </c>
      <c r="M38" s="93">
        <v>552.07352154368937</v>
      </c>
      <c r="N38" s="65">
        <v>48.494682828787475</v>
      </c>
      <c r="O38" s="57">
        <v>2260.8103292090777</v>
      </c>
      <c r="P38" s="86">
        <v>24.192148509026705</v>
      </c>
      <c r="Q38" s="61">
        <v>2078.5415115204187</v>
      </c>
      <c r="R38" s="86">
        <v>25.093337444561822</v>
      </c>
      <c r="S38" s="87">
        <v>1570.8768111996892</v>
      </c>
      <c r="T38" s="65">
        <v>28.932102068371265</v>
      </c>
      <c r="U38" s="93">
        <v>508.39877149334802</v>
      </c>
      <c r="V38" s="101">
        <v>52.532593520172263</v>
      </c>
    </row>
    <row r="39" spans="1:22" x14ac:dyDescent="0.2">
      <c r="A39" s="34"/>
      <c r="B39" s="45" t="str">
        <f>VLOOKUP("&lt;Zeilentitel_7.4&gt;",Uebersetzungen!$B$3:$E$83,Uebersetzungen!$B$2+1,FALSE)</f>
        <v>Akademische Berufe und oberes Kader</v>
      </c>
      <c r="C39" s="57">
        <v>16131.724467909726</v>
      </c>
      <c r="D39" s="86">
        <v>8.5165148068226362</v>
      </c>
      <c r="E39" s="63">
        <v>16131.724467909726</v>
      </c>
      <c r="F39" s="91">
        <v>8.5165148068226362</v>
      </c>
      <c r="G39" s="57">
        <v>11860.012115872622</v>
      </c>
      <c r="H39" s="62">
        <v>10.060066083836398</v>
      </c>
      <c r="I39" s="57">
        <v>8118.3205271806264</v>
      </c>
      <c r="J39" s="86">
        <v>12.347325922584442</v>
      </c>
      <c r="K39" s="66">
        <v>591.41668776986353</v>
      </c>
      <c r="L39" s="88">
        <v>45.693644385364578</v>
      </c>
      <c r="M39" s="93">
        <v>372.77208420419561</v>
      </c>
      <c r="N39" s="65">
        <v>58.244671399710882</v>
      </c>
      <c r="O39" s="57">
        <v>2541.9671572506522</v>
      </c>
      <c r="P39" s="86">
        <v>22.461586316329925</v>
      </c>
      <c r="Q39" s="64">
        <v>1603.6851101852153</v>
      </c>
      <c r="R39" s="88">
        <v>27.869845950711326</v>
      </c>
      <c r="S39" s="57">
        <v>4368.3691581635121</v>
      </c>
      <c r="T39" s="62">
        <v>17.286570011120382</v>
      </c>
      <c r="U39" s="93">
        <v>661.98827973451921</v>
      </c>
      <c r="V39" s="101">
        <v>44.600610272751581</v>
      </c>
    </row>
    <row r="40" spans="1:22" x14ac:dyDescent="0.2">
      <c r="A40" s="34"/>
      <c r="B40" s="45" t="str">
        <f>VLOOKUP("&lt;Zeilentitel_7.5&gt;",Uebersetzungen!$B$3:$E$83,Uebersetzungen!$B$2+1,FALSE)</f>
        <v>Intermediäre Berufe</v>
      </c>
      <c r="C40" s="57">
        <v>32353.683494224042</v>
      </c>
      <c r="D40" s="86">
        <v>5.7730507066936791</v>
      </c>
      <c r="E40" s="63">
        <v>32353.683494224042</v>
      </c>
      <c r="F40" s="91">
        <v>5.7730507066936791</v>
      </c>
      <c r="G40" s="57">
        <v>25905.137922516315</v>
      </c>
      <c r="H40" s="62">
        <v>6.5564115907457587</v>
      </c>
      <c r="I40" s="57">
        <v>12994.674607806566</v>
      </c>
      <c r="J40" s="86">
        <v>9.7679063592900359</v>
      </c>
      <c r="K40" s="64">
        <v>1120.6157487373939</v>
      </c>
      <c r="L40" s="88">
        <v>34.214372841209148</v>
      </c>
      <c r="M40" s="93">
        <v>820.89334692179898</v>
      </c>
      <c r="N40" s="65">
        <v>39.754629806601891</v>
      </c>
      <c r="O40" s="57">
        <v>6467.5994965497057</v>
      </c>
      <c r="P40" s="86">
        <v>14.056328398042181</v>
      </c>
      <c r="Q40" s="61">
        <v>2961.6714794829063</v>
      </c>
      <c r="R40" s="86">
        <v>20.641314927849145</v>
      </c>
      <c r="S40" s="57">
        <v>5821.9859240498472</v>
      </c>
      <c r="T40" s="62">
        <v>15.144055555099261</v>
      </c>
      <c r="U40" s="57">
        <v>2175.497601131071</v>
      </c>
      <c r="V40" s="100">
        <v>25.787213011736323</v>
      </c>
    </row>
    <row r="41" spans="1:22" x14ac:dyDescent="0.2">
      <c r="A41" s="34"/>
      <c r="B41" s="45" t="str">
        <f>VLOOKUP("&lt;Zeilentitel_7.6&gt;",Uebersetzungen!$B$3:$E$83,Uebersetzungen!$B$2+1,FALSE)</f>
        <v>Qualifizierte nichtmanuelle Berufe</v>
      </c>
      <c r="C41" s="57">
        <v>19713.229261553559</v>
      </c>
      <c r="D41" s="86">
        <v>7.7075461590373964</v>
      </c>
      <c r="E41" s="63">
        <v>19713.229261553559</v>
      </c>
      <c r="F41" s="91">
        <v>7.7075461590373964</v>
      </c>
      <c r="G41" s="57">
        <v>16514.103891096445</v>
      </c>
      <c r="H41" s="62">
        <v>8.4596552451513798</v>
      </c>
      <c r="I41" s="57">
        <v>6600.7388131636417</v>
      </c>
      <c r="J41" s="86">
        <v>14.129970774765683</v>
      </c>
      <c r="K41" s="66">
        <v>480.23626602778546</v>
      </c>
      <c r="L41" s="88">
        <v>51.762607412696504</v>
      </c>
      <c r="M41" s="93">
        <v>734.53009548140869</v>
      </c>
      <c r="N41" s="65">
        <v>42.393530468982298</v>
      </c>
      <c r="O41" s="57">
        <v>3631.1331111792861</v>
      </c>
      <c r="P41" s="86">
        <v>19.070405628953331</v>
      </c>
      <c r="Q41" s="61">
        <v>1803.6531789350863</v>
      </c>
      <c r="R41" s="86">
        <v>26.553844105793093</v>
      </c>
      <c r="S41" s="57">
        <v>2957.2294428025316</v>
      </c>
      <c r="T41" s="62">
        <v>21.475022035560468</v>
      </c>
      <c r="U41" s="93">
        <v>845.22632739318158</v>
      </c>
      <c r="V41" s="101">
        <v>41.443016177934815</v>
      </c>
    </row>
    <row r="42" spans="1:22" x14ac:dyDescent="0.2">
      <c r="A42" s="34"/>
      <c r="B42" s="45" t="str">
        <f>VLOOKUP("&lt;Zeilentitel_7.7&gt;",Uebersetzungen!$B$3:$E$83,Uebersetzungen!$B$2+1,FALSE)</f>
        <v>Qualifizierte manuelle Berufe</v>
      </c>
      <c r="C42" s="57">
        <v>10072.445541539711</v>
      </c>
      <c r="D42" s="86">
        <v>11.59324813236014</v>
      </c>
      <c r="E42" s="63">
        <v>10072.445541539711</v>
      </c>
      <c r="F42" s="91">
        <v>11.59324813236014</v>
      </c>
      <c r="G42" s="57">
        <v>7753.9465682231139</v>
      </c>
      <c r="H42" s="62">
        <v>13.241363353932178</v>
      </c>
      <c r="I42" s="57">
        <v>2198.0369278391022</v>
      </c>
      <c r="J42" s="86">
        <v>25.849418086425135</v>
      </c>
      <c r="K42" s="61" t="s">
        <v>279</v>
      </c>
      <c r="L42" s="86" t="s">
        <v>279</v>
      </c>
      <c r="M42" s="93">
        <v>406.86422777548387</v>
      </c>
      <c r="N42" s="65">
        <v>58.347611978409432</v>
      </c>
      <c r="O42" s="57">
        <v>2128.2593048613312</v>
      </c>
      <c r="P42" s="86">
        <v>26.454574823736419</v>
      </c>
      <c r="Q42" s="64">
        <v>1089.5943191296856</v>
      </c>
      <c r="R42" s="88">
        <v>36.70940159668833</v>
      </c>
      <c r="S42" s="93">
        <v>486.83418726434138</v>
      </c>
      <c r="T42" s="65">
        <v>56.472503023846166</v>
      </c>
      <c r="U42" s="93">
        <v>669.28373188828641</v>
      </c>
      <c r="V42" s="101">
        <v>48.931454854072854</v>
      </c>
    </row>
    <row r="43" spans="1:22" x14ac:dyDescent="0.2">
      <c r="A43" s="34"/>
      <c r="B43" s="45" t="str">
        <f>VLOOKUP("&lt;Zeilentitel_7.8&gt;",Uebersetzungen!$B$3:$E$83,Uebersetzungen!$B$2+1,FALSE)</f>
        <v>Ungelernte Angestellte und Arbeiter</v>
      </c>
      <c r="C43" s="57">
        <v>6821.9592610729978</v>
      </c>
      <c r="D43" s="86">
        <v>14.072757841029523</v>
      </c>
      <c r="E43" s="63">
        <v>6821.9592610729978</v>
      </c>
      <c r="F43" s="91">
        <v>14.072757841029523</v>
      </c>
      <c r="G43" s="57">
        <v>3696.5794243614523</v>
      </c>
      <c r="H43" s="62">
        <v>19.022129206466587</v>
      </c>
      <c r="I43" s="87">
        <v>1555.2029842398786</v>
      </c>
      <c r="J43" s="88">
        <v>30.018092105779807</v>
      </c>
      <c r="K43" s="61" t="s">
        <v>279</v>
      </c>
      <c r="L43" s="86" t="s">
        <v>279</v>
      </c>
      <c r="M43" s="93">
        <v>183.9795379593134</v>
      </c>
      <c r="N43" s="65">
        <v>87.064626911785751</v>
      </c>
      <c r="O43" s="57">
        <v>2974.3276897326668</v>
      </c>
      <c r="P43" s="86">
        <v>21.730842640716045</v>
      </c>
      <c r="Q43" s="66">
        <v>544.92120603589399</v>
      </c>
      <c r="R43" s="88">
        <v>50.196677817921092</v>
      </c>
      <c r="S43" s="93">
        <v>301.04160561509002</v>
      </c>
      <c r="T43" s="65">
        <v>68.746592559183412</v>
      </c>
      <c r="U43" s="87">
        <v>1540.1236295493704</v>
      </c>
      <c r="V43" s="101">
        <v>30.603409020461992</v>
      </c>
    </row>
    <row r="44" spans="1:22" ht="25.5" customHeight="1" x14ac:dyDescent="0.2">
      <c r="A44" s="34"/>
      <c r="B44" s="45" t="str">
        <f>VLOOKUP("&lt;Zeilentitel_7.9&gt;",Uebersetzungen!$B$3:$E$83,Uebersetzungen!$B$2+1,FALSE)</f>
        <v>Lernende in dualer beruflicher Grundbildung (Lehrlinge)</v>
      </c>
      <c r="C44" s="57">
        <v>2736.194236532895</v>
      </c>
      <c r="D44" s="86">
        <v>22.595748930549551</v>
      </c>
      <c r="E44" s="63">
        <v>2736.194236532895</v>
      </c>
      <c r="F44" s="91">
        <v>22.595748930549551</v>
      </c>
      <c r="G44" s="57">
        <v>2519.1137181939457</v>
      </c>
      <c r="H44" s="62">
        <v>23.607861007153748</v>
      </c>
      <c r="I44" s="93">
        <v>669.35497832640431</v>
      </c>
      <c r="J44" s="88">
        <v>47.317320859206525</v>
      </c>
      <c r="K44" s="61" t="s">
        <v>279</v>
      </c>
      <c r="L44" s="86" t="s">
        <v>279</v>
      </c>
      <c r="M44" s="57" t="s">
        <v>279</v>
      </c>
      <c r="N44" s="62" t="s">
        <v>279</v>
      </c>
      <c r="O44" s="93">
        <v>346.70208750124021</v>
      </c>
      <c r="P44" s="88">
        <v>64.965443877995355</v>
      </c>
      <c r="Q44" s="61" t="s">
        <v>279</v>
      </c>
      <c r="R44" s="86" t="s">
        <v>279</v>
      </c>
      <c r="S44" s="93">
        <v>218.62661373397032</v>
      </c>
      <c r="T44" s="65">
        <v>79.039847533223565</v>
      </c>
      <c r="U44" s="57" t="s">
        <v>279</v>
      </c>
      <c r="V44" s="100" t="s">
        <v>279</v>
      </c>
    </row>
    <row r="45" spans="1:22" ht="38.25" x14ac:dyDescent="0.2">
      <c r="A45" s="34"/>
      <c r="B45" s="45" t="str">
        <f>VLOOKUP("&lt;Zeilentitel_7.10&gt;",Uebersetzungen!$B$3:$E$83,Uebersetzungen!$B$2+1,FALSE)</f>
        <v>Nicht zuteilbare Erwerbstätige (fehlende oder unklare Basisdaten oder unplausible Kombination)</v>
      </c>
      <c r="C45" s="87">
        <v>1390.5786687626278</v>
      </c>
      <c r="D45" s="88">
        <v>32.063765901593513</v>
      </c>
      <c r="E45" s="67">
        <v>1390.5786687626278</v>
      </c>
      <c r="F45" s="92">
        <v>32.063765901593513</v>
      </c>
      <c r="G45" s="87">
        <v>1114.276787892645</v>
      </c>
      <c r="H45" s="65">
        <v>35.628897450537572</v>
      </c>
      <c r="I45" s="93">
        <v>451.41573967870795</v>
      </c>
      <c r="J45" s="88">
        <v>58.97984401368943</v>
      </c>
      <c r="K45" s="61" t="s">
        <v>279</v>
      </c>
      <c r="L45" s="86" t="s">
        <v>279</v>
      </c>
      <c r="M45" s="57" t="s">
        <v>279</v>
      </c>
      <c r="N45" s="62" t="s">
        <v>279</v>
      </c>
      <c r="O45" s="57" t="s">
        <v>279</v>
      </c>
      <c r="P45" s="86" t="s">
        <v>279</v>
      </c>
      <c r="Q45" s="61" t="s">
        <v>279</v>
      </c>
      <c r="R45" s="86" t="s">
        <v>279</v>
      </c>
      <c r="S45" s="57" t="s">
        <v>279</v>
      </c>
      <c r="T45" s="62" t="s">
        <v>279</v>
      </c>
      <c r="U45" s="93">
        <v>224.85546143819627</v>
      </c>
      <c r="V45" s="101">
        <v>87.010851656499909</v>
      </c>
    </row>
    <row r="46" spans="1:22" x14ac:dyDescent="0.2">
      <c r="A46" s="34"/>
      <c r="B46" s="45" t="str">
        <f>VLOOKUP("&lt;Zeilentitel_7.11&gt;",Uebersetzungen!$B$3:$E$83,Uebersetzungen!$B$2+1,FALSE)</f>
        <v>Erwerbslose und Nichterwerbspersonen</v>
      </c>
      <c r="C46" s="57">
        <v>67650.862463051279</v>
      </c>
      <c r="D46" s="86">
        <v>3.4588483113999517</v>
      </c>
      <c r="E46" s="69" t="s">
        <v>279</v>
      </c>
      <c r="F46" s="94" t="s">
        <v>279</v>
      </c>
      <c r="G46" s="95" t="s">
        <v>279</v>
      </c>
      <c r="H46" s="71" t="s">
        <v>279</v>
      </c>
      <c r="I46" s="95" t="s">
        <v>279</v>
      </c>
      <c r="J46" s="97" t="s">
        <v>279</v>
      </c>
      <c r="K46" s="70" t="s">
        <v>279</v>
      </c>
      <c r="L46" s="97" t="s">
        <v>279</v>
      </c>
      <c r="M46" s="95" t="s">
        <v>279</v>
      </c>
      <c r="N46" s="71" t="s">
        <v>279</v>
      </c>
      <c r="O46" s="95" t="s">
        <v>279</v>
      </c>
      <c r="P46" s="97" t="s">
        <v>279</v>
      </c>
      <c r="Q46" s="70" t="s">
        <v>279</v>
      </c>
      <c r="R46" s="97" t="s">
        <v>279</v>
      </c>
      <c r="S46" s="95" t="s">
        <v>279</v>
      </c>
      <c r="T46" s="71" t="s">
        <v>279</v>
      </c>
      <c r="U46" s="95" t="s">
        <v>279</v>
      </c>
      <c r="V46" s="102" t="s">
        <v>279</v>
      </c>
    </row>
    <row r="47" spans="1:22" ht="12.75" customHeight="1" x14ac:dyDescent="0.2">
      <c r="A47" s="30" t="str">
        <f>VLOOKUP("&lt;Zeilentitel_8&gt;",Uebersetzungen!$B$3:$E$83,Uebersetzungen!$B$2+1,FALSE)</f>
        <v>Höchste abgeschlossene Ausbildung</v>
      </c>
      <c r="B47" s="43" t="str">
        <f>VLOOKUP("&lt;Zeilentitel_8.1&gt;",Uebersetzungen!$B$3:$E$83,Uebersetzungen!$B$2+1,FALSE)</f>
        <v>Ohne nachobligatorische Aubildung</v>
      </c>
      <c r="C47" s="105">
        <v>34830.749924816439</v>
      </c>
      <c r="D47" s="106">
        <v>5.6363231755720467</v>
      </c>
      <c r="E47" s="107">
        <v>14940.423111251996</v>
      </c>
      <c r="F47" s="108">
        <v>9.3084152488574912</v>
      </c>
      <c r="G47" s="105">
        <v>8631.8694559008945</v>
      </c>
      <c r="H47" s="109">
        <v>12.311826185357994</v>
      </c>
      <c r="I47" s="105">
        <v>4036.2835953502827</v>
      </c>
      <c r="J47" s="106">
        <v>18.81563815043798</v>
      </c>
      <c r="K47" s="120">
        <v>210.35856698361846</v>
      </c>
      <c r="L47" s="121">
        <v>79.084894824610387</v>
      </c>
      <c r="M47" s="122">
        <v>293.52806677602285</v>
      </c>
      <c r="N47" s="123">
        <v>68.664820049817706</v>
      </c>
      <c r="O47" s="105">
        <v>5526.4142353589104</v>
      </c>
      <c r="P47" s="106">
        <v>15.879056788742382</v>
      </c>
      <c r="Q47" s="124">
        <v>1021.4955978709922</v>
      </c>
      <c r="R47" s="121">
        <v>36.77253057578978</v>
      </c>
      <c r="S47" s="125">
        <v>1285.788456195284</v>
      </c>
      <c r="T47" s="123">
        <v>33.295428330368878</v>
      </c>
      <c r="U47" s="105">
        <v>3235.5074620758969</v>
      </c>
      <c r="V47" s="111">
        <v>21.208998837699284</v>
      </c>
    </row>
    <row r="48" spans="1:22" x14ac:dyDescent="0.2">
      <c r="A48" s="34"/>
      <c r="B48" s="45" t="str">
        <f>VLOOKUP("&lt;Zeilentitel_8.2&gt;",Uebersetzungen!$B$3:$E$83,Uebersetzungen!$B$2+1,FALSE)</f>
        <v>Sekundarstufe II</v>
      </c>
      <c r="C48" s="57">
        <v>80390.820949427201</v>
      </c>
      <c r="D48" s="86">
        <v>3.0161514322530469</v>
      </c>
      <c r="E48" s="63">
        <v>47629.911792936735</v>
      </c>
      <c r="F48" s="91">
        <v>4.560980325674346</v>
      </c>
      <c r="G48" s="57">
        <v>38977.03253895192</v>
      </c>
      <c r="H48" s="62">
        <v>5.1803282343262609</v>
      </c>
      <c r="I48" s="57">
        <v>15029.667756870815</v>
      </c>
      <c r="J48" s="86">
        <v>9.1404775326193786</v>
      </c>
      <c r="K48" s="64">
        <v>1069.9358406438103</v>
      </c>
      <c r="L48" s="88">
        <v>34.191999001219337</v>
      </c>
      <c r="M48" s="57">
        <v>2047.088808486727</v>
      </c>
      <c r="N48" s="62">
        <v>25.375059135517741</v>
      </c>
      <c r="O48" s="57">
        <v>9009.1878211263484</v>
      </c>
      <c r="P48" s="86">
        <v>11.978558181031843</v>
      </c>
      <c r="Q48" s="61">
        <v>5734.408314492779</v>
      </c>
      <c r="R48" s="86">
        <v>14.930793209690126</v>
      </c>
      <c r="S48" s="57">
        <v>6216.0966665222813</v>
      </c>
      <c r="T48" s="62">
        <v>14.673147368701718</v>
      </c>
      <c r="U48" s="57">
        <v>2232.5207927325723</v>
      </c>
      <c r="V48" s="100">
        <v>25.64000646631586</v>
      </c>
    </row>
    <row r="49" spans="1:22" ht="13.5" thickBot="1" x14ac:dyDescent="0.25">
      <c r="A49" s="35"/>
      <c r="B49" s="46" t="str">
        <f>VLOOKUP("&lt;Zeilentitel_8.3&gt;",Uebersetzungen!$B$3:$E$83,Uebersetzungen!$B$2+1,FALSE)</f>
        <v>Tertiärstufe</v>
      </c>
      <c r="C49" s="58">
        <v>59389.429125753471</v>
      </c>
      <c r="D49" s="89">
        <v>3.7837661322369573</v>
      </c>
      <c r="E49" s="82">
        <v>44389.802632757237</v>
      </c>
      <c r="F49" s="96">
        <v>4.6570983910894261</v>
      </c>
      <c r="G49" s="58">
        <v>35924.221176039136</v>
      </c>
      <c r="H49" s="81">
        <v>5.3333482109060544</v>
      </c>
      <c r="I49" s="58">
        <v>18662.450542165538</v>
      </c>
      <c r="J49" s="89">
        <v>7.915983514595256</v>
      </c>
      <c r="K49" s="83">
        <v>1880.8837008319892</v>
      </c>
      <c r="L49" s="89">
        <v>26.049365705716266</v>
      </c>
      <c r="M49" s="98">
        <v>922.00556642185506</v>
      </c>
      <c r="N49" s="84">
        <v>36.680050727328471</v>
      </c>
      <c r="O49" s="58">
        <v>7522.8465982863545</v>
      </c>
      <c r="P49" s="89">
        <v>12.838692421250412</v>
      </c>
      <c r="Q49" s="83">
        <v>4182.6106529596645</v>
      </c>
      <c r="R49" s="89">
        <v>17.283901835676424</v>
      </c>
      <c r="S49" s="58">
        <v>9857.272690552938</v>
      </c>
      <c r="T49" s="81">
        <v>11.322849899331834</v>
      </c>
      <c r="U49" s="103">
        <v>1652.5353015115966</v>
      </c>
      <c r="V49" s="104">
        <v>29.065912078600551</v>
      </c>
    </row>
    <row r="50" spans="1:22" x14ac:dyDescent="0.2">
      <c r="A50" s="25"/>
      <c r="B50" s="18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6"/>
      <c r="T50" s="27"/>
      <c r="U50" s="28"/>
      <c r="V50" s="27"/>
    </row>
    <row r="51" spans="1:22" x14ac:dyDescent="0.2">
      <c r="A51" s="13" t="str">
        <f>VLOOKUP("&lt;Legende_1&gt;",Uebersetzungen!$B$3:$E$72,Uebersetzungen!$B$2+1,FALSE)</f>
        <v>Die Befragten konnten mehrere Hauptsprachen nennen.</v>
      </c>
    </row>
    <row r="52" spans="1:22" x14ac:dyDescent="0.2">
      <c r="A52" s="13" t="str">
        <f>VLOOKUP("&lt;Legende_2&gt;",Uebersetzungen!$B$3:$E$72,Uebersetzungen!$B$2+1,FALSE)</f>
        <v>(): Extrapolation aufgrund von 49 oder weniger Beobachtungen. Die Resultate sind mit grosser Vorsicht zu interpretieren.</v>
      </c>
    </row>
    <row r="53" spans="1:22" x14ac:dyDescent="0.2">
      <c r="A53" s="13" t="str">
        <f>VLOOKUP("&lt;Legende_3&gt;",Uebersetzungen!$B$3:$E$72,Uebersetzungen!$B$2+1,FALSE)</f>
        <v>X: Extrapolation aufgrund von 4 oder weniger Beobachtungen. Die Resultate werden aus Gründen des Datenschutzes nicht publiziert.</v>
      </c>
    </row>
    <row r="54" spans="1:22" x14ac:dyDescent="0.2">
      <c r="A54" s="13" t="str">
        <f>VLOOKUP("&lt;Legende_4&gt;",Uebersetzungen!$B$3:$E$72,Uebersetzungen!$B$2+1,FALSE)</f>
        <v>Die Grundgesamtheit der Strukturerhebung enthält alle Personen der ständigen Wohnbevölkerung ab vollendetem 15. Altersjahr, die in Privathaushalten leben.</v>
      </c>
    </row>
    <row r="55" spans="1:22" x14ac:dyDescent="0.2">
      <c r="A55" s="41" t="str">
        <f>VLOOKUP("&lt;Legende_5&gt;",Uebersetzungen!$B$3:$E$72,Uebersetzungen!$B$2+1,FALSE)</f>
        <v>Aus der Grundgesamtheit ausgeschlossen wurden neben den Personen, die in Kollektivhaushalten leben, auch Diplomaten, internationale Funktionäre und deren Angehörige.</v>
      </c>
    </row>
    <row r="56" spans="1:22" x14ac:dyDescent="0.2">
      <c r="A56" s="7"/>
    </row>
    <row r="57" spans="1:22" x14ac:dyDescent="0.2">
      <c r="A57" s="7" t="str">
        <f>VLOOKUP("&lt;Quelle_1&gt;",Uebersetzungen!$B$3:$E$83,Uebersetzungen!$B$2+1,FALSE)</f>
        <v>Quelle: BFS (Strukturerhebung)</v>
      </c>
    </row>
    <row r="58" spans="1:22" x14ac:dyDescent="0.2">
      <c r="A58" s="6" t="str">
        <f>VLOOKUP("&lt;Aktualisierung&gt;",Uebersetzungen!$B$3:$E$83,Uebersetzungen!$B$2+1,FALSE)</f>
        <v>Letztmals aktualisiert am: 17.02.2025</v>
      </c>
    </row>
    <row r="59" spans="1:22" x14ac:dyDescent="0.2">
      <c r="B59" s="9"/>
      <c r="T59" s="9"/>
    </row>
    <row r="61" spans="1:22" x14ac:dyDescent="0.2">
      <c r="B61" s="10"/>
      <c r="T61" s="10"/>
    </row>
    <row r="62" spans="1:22" x14ac:dyDescent="0.2">
      <c r="T62" s="9"/>
      <c r="U62" s="9"/>
      <c r="V62" s="9"/>
    </row>
  </sheetData>
  <sheetProtection sheet="1" objects="1" scenarios="1"/>
  <mergeCells count="13">
    <mergeCell ref="A7:D7"/>
    <mergeCell ref="B13:B14"/>
    <mergeCell ref="C13:D13"/>
    <mergeCell ref="S13:T13"/>
    <mergeCell ref="U13:V13"/>
    <mergeCell ref="C12:V12"/>
    <mergeCell ref="E13:F13"/>
    <mergeCell ref="G13:H13"/>
    <mergeCell ref="I13:J13"/>
    <mergeCell ref="K13:L13"/>
    <mergeCell ref="M13:N13"/>
    <mergeCell ref="O13:P13"/>
    <mergeCell ref="Q13:R13"/>
  </mergeCells>
  <pageMargins left="0.7" right="0.7" top="0.78740157499999996" bottom="0.78740157499999996" header="0.3" footer="0.3"/>
  <pageSetup paperSize="9" scale="28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1"/>
  <sheetViews>
    <sheetView showGridLines="0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22" width="9.5" style="6" customWidth="1"/>
    <col min="23" max="16384" width="11" style="6"/>
  </cols>
  <sheetData>
    <row r="1" spans="1:23" s="1" customFormat="1" x14ac:dyDescent="0.2"/>
    <row r="2" spans="1:23" s="1" customFormat="1" ht="15.75" x14ac:dyDescent="0.25">
      <c r="B2" s="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3" s="1" customFormat="1" ht="15.75" x14ac:dyDescent="0.25"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3" s="1" customFormat="1" ht="15.75" x14ac:dyDescent="0.25"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23" s="1" customFormat="1" x14ac:dyDescent="0.2"/>
    <row r="6" spans="1:23" s="1" customFormat="1" x14ac:dyDescent="0.2"/>
    <row r="7" spans="1:23" s="1" customFormat="1" ht="15.75" customHeight="1" x14ac:dyDescent="0.2">
      <c r="A7" s="152" t="str">
        <f>VLOOKUP("&lt;Fachbereich&gt;",Uebersetzungen!$B$3:$E$63,Uebersetzungen!$B$2+1,FALSE)</f>
        <v>Daten &amp; Statistik</v>
      </c>
      <c r="B7" s="152"/>
      <c r="C7" s="152"/>
      <c r="D7" s="152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12"/>
      <c r="T7" s="12"/>
      <c r="U7" s="12"/>
      <c r="V7" s="12"/>
      <c r="W7" s="12"/>
    </row>
    <row r="8" spans="1:23" s="1" customFormat="1" x14ac:dyDescent="0.2"/>
    <row r="9" spans="1:23" ht="18" x14ac:dyDescent="0.2">
      <c r="A9" s="3" t="str">
        <f>VLOOKUP("&lt;T2Titel&gt;",Uebersetzungen!$B$3:$E$86,Uebersetzungen!$B$2+1,FALSE)</f>
        <v>In der Ausbildung gesprochene Sprachen, Kanton Graubünden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 x14ac:dyDescent="0.2">
      <c r="A10" s="7" t="str">
        <f>VLOOKUP("&lt;T2UTitel&gt;",Uebersetzungen!$B$3:$E$86,Uebersetzungen!$B$2+1,FALSE)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3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 ht="18" x14ac:dyDescent="0.25">
      <c r="A12" s="8"/>
      <c r="B12" s="8"/>
      <c r="C12" s="158">
        <v>2023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60"/>
    </row>
    <row r="13" spans="1:23" ht="37.5" customHeight="1" x14ac:dyDescent="0.2">
      <c r="B13" s="153"/>
      <c r="C13" s="155" t="str">
        <f>VLOOKUP("&lt;SpaltenTitel_1&gt;",Uebersetzungen!$B$3:$E$63,Uebersetzungen!$B$2+1,FALSE)</f>
        <v>Total Bevölkerung</v>
      </c>
      <c r="D13" s="156"/>
      <c r="E13" s="156" t="str">
        <f>VLOOKUP("&lt;T2SpaltenTitel_2&gt;",Uebersetzungen!$B$3:$E$163,Uebersetzungen!$B$2+1,FALSE)</f>
        <v>Personen in Ausbildung</v>
      </c>
      <c r="F13" s="156"/>
      <c r="G13" s="156" t="str">
        <f>VLOOKUP("&lt;SpaltenTitel_3&gt;",Uebersetzungen!$B$3:$E$63,Uebersetzungen!$B$2+1,FALSE)</f>
        <v>Schweizerdeutsch</v>
      </c>
      <c r="H13" s="156"/>
      <c r="I13" s="156" t="str">
        <f>VLOOKUP("&lt;SpaltenTitel_4&gt;",Uebersetzungen!$B$3:$E$63,Uebersetzungen!$B$2+1,FALSE)</f>
        <v>Deutsch</v>
      </c>
      <c r="J13" s="156"/>
      <c r="K13" s="156" t="str">
        <f>VLOOKUP("&lt;SpaltenTitel_5&gt;",Uebersetzungen!$B$3:$E$63,Uebersetzungen!$B$2+1,FALSE)</f>
        <v>Französisch</v>
      </c>
      <c r="L13" s="156"/>
      <c r="M13" s="161" t="str">
        <f>VLOOKUP("&lt;SpaltenTitel_6&gt;",Uebersetzungen!$B$3:$E$63,Uebersetzungen!$B$2+1,FALSE)</f>
        <v>Tessiner/Bündner-italienischer Dialekt</v>
      </c>
      <c r="N13" s="162"/>
      <c r="O13" s="161" t="str">
        <f>VLOOKUP("&lt;SpaltenTitel_7&gt;",Uebersetzungen!$B$3:$E$63,Uebersetzungen!$B$2+1,FALSE)</f>
        <v>Italienisch</v>
      </c>
      <c r="P13" s="162"/>
      <c r="Q13" s="161" t="str">
        <f>VLOOKUP("&lt;SpaltenTitel_8&gt;",Uebersetzungen!$B$3:$E$63,Uebersetzungen!$B$2+1,FALSE)</f>
        <v>Rätoromanisch</v>
      </c>
      <c r="R13" s="162"/>
      <c r="S13" s="156" t="str">
        <f>VLOOKUP("&lt;SpaltenTitel_9&gt;",Uebersetzungen!$B$3:$E$63,Uebersetzungen!$B$2+1,FALSE)</f>
        <v>Englisch</v>
      </c>
      <c r="T13" s="156"/>
      <c r="U13" s="156" t="str">
        <f>VLOOKUP("&lt;SpaltenTitel_10&gt;",Uebersetzungen!$B$3:$E$63,Uebersetzungen!$B$2+1,FALSE)</f>
        <v>Andere Sprache/n</v>
      </c>
      <c r="V13" s="157"/>
    </row>
    <row r="14" spans="1:23" ht="39" thickBot="1" x14ac:dyDescent="0.25">
      <c r="B14" s="154"/>
      <c r="C14" s="47" t="str">
        <f>VLOOKUP("&lt;SpaltenTitel_1.1&gt;",Uebersetzungen!$B$3:$E$63,Uebersetzungen!$B$2+1,FALSE)</f>
        <v>Anzahl Personen</v>
      </c>
      <c r="D14" s="48" t="str">
        <f>VLOOKUP("&lt;SpaltenTitel_1.2&gt;",Uebersetzungen!$B$3:$E$63,Uebersetzungen!$B$2+1,FALSE)</f>
        <v>Vertrauens- intervall: 
± (in %)</v>
      </c>
      <c r="E14" s="49" t="str">
        <f>VLOOKUP("&lt;SpaltenTitel_1.1&gt;",Uebersetzungen!$B$3:$E$63,Uebersetzungen!$B$2+1,FALSE)</f>
        <v>Anzahl Personen</v>
      </c>
      <c r="F14" s="48" t="str">
        <f>VLOOKUP("&lt;SpaltenTitel_1.2&gt;",Uebersetzungen!$B$3:$E$63,Uebersetzungen!$B$2+1,FALSE)</f>
        <v>Vertrauens- intervall: 
± (in %)</v>
      </c>
      <c r="G14" s="49" t="str">
        <f>VLOOKUP("&lt;SpaltenTitel_1.1&gt;",Uebersetzungen!$B$3:$E$63,Uebersetzungen!$B$2+1,FALSE)</f>
        <v>Anzahl Personen</v>
      </c>
      <c r="H14" s="48" t="str">
        <f>VLOOKUP("&lt;SpaltenTitel_1.2&gt;",Uebersetzungen!$B$3:$E$63,Uebersetzungen!$B$2+1,FALSE)</f>
        <v>Vertrauens- intervall: 
± (in %)</v>
      </c>
      <c r="I14" s="51" t="str">
        <f>VLOOKUP("&lt;SpaltenTitel_1.1&gt;",Uebersetzungen!$B$3:$E$63,Uebersetzungen!$B$2+1,FALSE)</f>
        <v>Anzahl Personen</v>
      </c>
      <c r="J14" s="60" t="str">
        <f>VLOOKUP("&lt;SpaltenTitel_1.2&gt;",Uebersetzungen!$B$3:$E$63,Uebersetzungen!$B$2+1,FALSE)</f>
        <v>Vertrauens- intervall: 
± (in %)</v>
      </c>
      <c r="K14" s="49" t="str">
        <f>VLOOKUP("&lt;SpaltenTitel_1.1&gt;",Uebersetzungen!$B$3:$E$63,Uebersetzungen!$B$2+1,FALSE)</f>
        <v>Anzahl Personen</v>
      </c>
      <c r="L14" s="48" t="str">
        <f>VLOOKUP("&lt;SpaltenTitel_1.2&gt;",Uebersetzungen!$B$3:$E$63,Uebersetzungen!$B$2+1,FALSE)</f>
        <v>Vertrauens- intervall: 
± (in %)</v>
      </c>
      <c r="M14" s="49" t="str">
        <f>VLOOKUP("&lt;SpaltenTitel_1.1&gt;",Uebersetzungen!$B$3:$E$63,Uebersetzungen!$B$2+1,FALSE)</f>
        <v>Anzahl Personen</v>
      </c>
      <c r="N14" s="48" t="str">
        <f>VLOOKUP("&lt;SpaltenTitel_1.2&gt;",Uebersetzungen!$B$3:$E$63,Uebersetzungen!$B$2+1,FALSE)</f>
        <v>Vertrauens- intervall: 
± (in %)</v>
      </c>
      <c r="O14" s="49" t="str">
        <f>VLOOKUP("&lt;SpaltenTitel_1.1&gt;",Uebersetzungen!$B$3:$E$63,Uebersetzungen!$B$2+1,FALSE)</f>
        <v>Anzahl Personen</v>
      </c>
      <c r="P14" s="48" t="str">
        <f>VLOOKUP("&lt;SpaltenTitel_1.2&gt;",Uebersetzungen!$B$3:$E$63,Uebersetzungen!$B$2+1,FALSE)</f>
        <v>Vertrauens- intervall: 
± (in %)</v>
      </c>
      <c r="Q14" s="49" t="str">
        <f>VLOOKUP("&lt;SpaltenTitel_1.1&gt;",Uebersetzungen!$B$3:$E$63,Uebersetzungen!$B$2+1,FALSE)</f>
        <v>Anzahl Personen</v>
      </c>
      <c r="R14" s="48" t="str">
        <f>VLOOKUP("&lt;SpaltenTitel_1.2&gt;",Uebersetzungen!$B$3:$E$63,Uebersetzungen!$B$2+1,FALSE)</f>
        <v>Vertrauens- intervall: 
± (in %)</v>
      </c>
      <c r="S14" s="50" t="str">
        <f>VLOOKUP("&lt;SpaltenTitel_1.1&gt;",Uebersetzungen!$B$3:$E$63,Uebersetzungen!$B$2+1,FALSE)</f>
        <v>Anzahl Personen</v>
      </c>
      <c r="T14" s="48" t="str">
        <f>VLOOKUP("&lt;SpaltenTitel_1.2&gt;",Uebersetzungen!$B$3:$E$63,Uebersetzungen!$B$2+1,FALSE)</f>
        <v>Vertrauens- intervall: 
± (in %)</v>
      </c>
      <c r="U14" s="59" t="str">
        <f>VLOOKUP("&lt;SpaltenTitel_1.1&gt;",Uebersetzungen!$B$3:$E$63,Uebersetzungen!$B$2+1,FALSE)</f>
        <v>Anzahl Personen</v>
      </c>
      <c r="V14" s="52" t="str">
        <f>VLOOKUP("&lt;SpaltenTitel_1.2&gt;",Uebersetzungen!$B$3:$E$63,Uebersetzungen!$B$2+1,FALSE)</f>
        <v>Vertrauens- intervall: 
± (in %)</v>
      </c>
    </row>
    <row r="15" spans="1:23" ht="14.25" customHeight="1" x14ac:dyDescent="0.2">
      <c r="A15" s="29" t="str">
        <f>VLOOKUP("&lt;Zeilentitel_1&gt;",Uebersetzungen!$B$3:$E$83,Uebersetzungen!$B$2+1,FALSE)</f>
        <v>Total</v>
      </c>
      <c r="B15" s="42"/>
      <c r="C15" s="129">
        <v>174610.99999999691</v>
      </c>
      <c r="D15" s="85">
        <v>0.33944767742202053</v>
      </c>
      <c r="E15" s="53">
        <v>15617.696054889464</v>
      </c>
      <c r="F15" s="130">
        <v>9.1646613267901138</v>
      </c>
      <c r="G15" s="56">
        <v>13043.708028448393</v>
      </c>
      <c r="H15" s="85">
        <v>10.116377651667289</v>
      </c>
      <c r="I15" s="80">
        <v>7953.318072718017</v>
      </c>
      <c r="J15" s="85">
        <v>13.234978369450156</v>
      </c>
      <c r="K15" s="56" t="s">
        <v>279</v>
      </c>
      <c r="L15" s="78" t="s">
        <v>279</v>
      </c>
      <c r="M15" s="141">
        <v>399.11966989053144</v>
      </c>
      <c r="N15" s="142">
        <v>58.360005365344932</v>
      </c>
      <c r="O15" s="80">
        <v>2580.0870552455817</v>
      </c>
      <c r="P15" s="85">
        <v>23.399372255670347</v>
      </c>
      <c r="Q15" s="143">
        <v>1583.6756362527635</v>
      </c>
      <c r="R15" s="131">
        <v>29.442594553985113</v>
      </c>
      <c r="S15" s="56">
        <v>3518.0483949175295</v>
      </c>
      <c r="T15" s="85">
        <v>20.27958032851652</v>
      </c>
      <c r="U15" s="141">
        <v>648.46228006833189</v>
      </c>
      <c r="V15" s="144">
        <v>48.643337797167895</v>
      </c>
    </row>
    <row r="16" spans="1:23" x14ac:dyDescent="0.2">
      <c r="A16" s="30" t="str">
        <f>VLOOKUP("&lt;Zeilentitel_2&gt;",Uebersetzungen!$B$3:$E$83,Uebersetzungen!$B$2+1,FALSE)</f>
        <v>Geschlecht</v>
      </c>
      <c r="B16" s="43" t="str">
        <f>VLOOKUP("&lt;Zeilentitel_2.1&gt;",Uebersetzungen!$B$3:$E$83,Uebersetzungen!$B$2+1,FALSE)</f>
        <v>Männer</v>
      </c>
      <c r="C16" s="146">
        <v>87537.999999998283</v>
      </c>
      <c r="D16" s="106">
        <v>2.8416627271316957</v>
      </c>
      <c r="E16" s="147">
        <v>8063.4649770370042</v>
      </c>
      <c r="F16" s="148">
        <v>13.207569222088976</v>
      </c>
      <c r="G16" s="105">
        <v>6966.0679302445624</v>
      </c>
      <c r="H16" s="106">
        <v>14.282986132254289</v>
      </c>
      <c r="I16" s="110">
        <v>3702.4603377101312</v>
      </c>
      <c r="J16" s="106">
        <v>19.985058614316273</v>
      </c>
      <c r="K16" s="105" t="s">
        <v>279</v>
      </c>
      <c r="L16" s="109" t="s">
        <v>279</v>
      </c>
      <c r="M16" s="122">
        <v>181.37815292440592</v>
      </c>
      <c r="N16" s="121">
        <v>86.719857531292959</v>
      </c>
      <c r="O16" s="124">
        <v>1097.1854543739043</v>
      </c>
      <c r="P16" s="121">
        <v>36.659189954692962</v>
      </c>
      <c r="Q16" s="125">
        <v>1007.3509166258935</v>
      </c>
      <c r="R16" s="123">
        <v>37.256764591633797</v>
      </c>
      <c r="S16" s="125">
        <v>1689.914256410613</v>
      </c>
      <c r="T16" s="121">
        <v>29.798133551503042</v>
      </c>
      <c r="U16" s="122">
        <v>378.50993210244121</v>
      </c>
      <c r="V16" s="149">
        <v>65.069741909945478</v>
      </c>
    </row>
    <row r="17" spans="1:22" x14ac:dyDescent="0.2">
      <c r="A17" s="31"/>
      <c r="B17" s="44" t="str">
        <f>VLOOKUP("&lt;Zeilentitel_2.2&gt;",Uebersetzungen!$B$3:$E$83,Uebersetzungen!$B$2+1,FALSE)</f>
        <v>Frauen</v>
      </c>
      <c r="C17" s="150">
        <v>87072.999999998618</v>
      </c>
      <c r="D17" s="113">
        <v>2.7106627575431776</v>
      </c>
      <c r="E17" s="151">
        <v>7554.2310778524588</v>
      </c>
      <c r="F17" s="128">
        <v>13.274686688978861</v>
      </c>
      <c r="G17" s="112">
        <v>6077.6400982038294</v>
      </c>
      <c r="H17" s="113">
        <v>14.850600245115249</v>
      </c>
      <c r="I17" s="72">
        <v>4250.8577350078858</v>
      </c>
      <c r="J17" s="113">
        <v>17.97834655365002</v>
      </c>
      <c r="K17" s="112" t="s">
        <v>279</v>
      </c>
      <c r="L17" s="73" t="s">
        <v>279</v>
      </c>
      <c r="M17" s="118">
        <v>217.74151696612549</v>
      </c>
      <c r="N17" s="115">
        <v>78.978496885349685</v>
      </c>
      <c r="O17" s="77">
        <v>1482.9016008716771</v>
      </c>
      <c r="P17" s="115">
        <v>30.542894549320984</v>
      </c>
      <c r="Q17" s="118">
        <v>576.32471962687009</v>
      </c>
      <c r="R17" s="76">
        <v>48.281164080183565</v>
      </c>
      <c r="S17" s="116">
        <v>1828.1341385069168</v>
      </c>
      <c r="T17" s="115">
        <v>27.894741947011461</v>
      </c>
      <c r="U17" s="118">
        <v>269.95234796589074</v>
      </c>
      <c r="V17" s="119">
        <v>73.145722652769336</v>
      </c>
    </row>
    <row r="18" spans="1:22" x14ac:dyDescent="0.2">
      <c r="A18" s="32" t="str">
        <f>VLOOKUP("&lt;Zeilentitel_3&gt;",Uebersetzungen!$B$3:$E$83,Uebersetzungen!$B$2+1,FALSE)</f>
        <v>Alter</v>
      </c>
      <c r="B18" s="25" t="str">
        <f>VLOOKUP("&lt;Zeilentitel_3.1&gt;",Uebersetzungen!$B$3:$E$83,Uebersetzungen!$B$2+1,FALSE)</f>
        <v>15-24</v>
      </c>
      <c r="C18" s="132">
        <v>18796.999999999982</v>
      </c>
      <c r="D18" s="86">
        <v>8.3769939210268003</v>
      </c>
      <c r="E18" s="54">
        <v>11315.495038403655</v>
      </c>
      <c r="F18" s="126">
        <v>10.894590999129631</v>
      </c>
      <c r="G18" s="57">
        <v>9558.8621403532597</v>
      </c>
      <c r="H18" s="86">
        <v>11.928024985969868</v>
      </c>
      <c r="I18" s="61">
        <v>5776.1719358480595</v>
      </c>
      <c r="J18" s="86">
        <v>15.631989232540528</v>
      </c>
      <c r="K18" s="57" t="s">
        <v>279</v>
      </c>
      <c r="L18" s="62" t="s">
        <v>279</v>
      </c>
      <c r="M18" s="93">
        <v>323.0823562863639</v>
      </c>
      <c r="N18" s="88">
        <v>64.437471536184759</v>
      </c>
      <c r="O18" s="64">
        <v>1778.8624575040014</v>
      </c>
      <c r="P18" s="88">
        <v>28.178343475750527</v>
      </c>
      <c r="Q18" s="87">
        <v>1175.3070998478581</v>
      </c>
      <c r="R18" s="65">
        <v>34.121252294400016</v>
      </c>
      <c r="S18" s="57">
        <v>2367.6384225498427</v>
      </c>
      <c r="T18" s="86">
        <v>24.690566775924623</v>
      </c>
      <c r="U18" s="93">
        <v>451.02797656082527</v>
      </c>
      <c r="V18" s="101">
        <v>58.592740728800273</v>
      </c>
    </row>
    <row r="19" spans="1:22" x14ac:dyDescent="0.2">
      <c r="A19" s="33"/>
      <c r="B19" s="45" t="str">
        <f>VLOOKUP("&lt;Zeilentitel_3.2&gt;",Uebersetzungen!$B$3:$E$83,Uebersetzungen!$B$2+1,FALSE)</f>
        <v>25-44</v>
      </c>
      <c r="C19" s="132">
        <v>51462.999999999032</v>
      </c>
      <c r="D19" s="86">
        <v>4.4448967572291966</v>
      </c>
      <c r="E19" s="54">
        <v>3713.4188654923746</v>
      </c>
      <c r="F19" s="126">
        <v>19.663046870165982</v>
      </c>
      <c r="G19" s="57">
        <v>3094.096637369491</v>
      </c>
      <c r="H19" s="86">
        <v>21.567878646235357</v>
      </c>
      <c r="I19" s="64">
        <v>1813.5012247332274</v>
      </c>
      <c r="J19" s="88">
        <v>28.525778941496096</v>
      </c>
      <c r="K19" s="57" t="s">
        <v>279</v>
      </c>
      <c r="L19" s="62" t="s">
        <v>279</v>
      </c>
      <c r="M19" s="57" t="s">
        <v>279</v>
      </c>
      <c r="N19" s="86" t="s">
        <v>279</v>
      </c>
      <c r="O19" s="66">
        <v>699.36003537959402</v>
      </c>
      <c r="P19" s="88">
        <v>45.78489811965396</v>
      </c>
      <c r="Q19" s="93">
        <v>275.26947291439279</v>
      </c>
      <c r="R19" s="65">
        <v>73.384916102460451</v>
      </c>
      <c r="S19" s="87">
        <v>1048.8260480213146</v>
      </c>
      <c r="T19" s="88">
        <v>37.975074461788033</v>
      </c>
      <c r="U19" s="57" t="s">
        <v>279</v>
      </c>
      <c r="V19" s="100" t="s">
        <v>279</v>
      </c>
    </row>
    <row r="20" spans="1:22" x14ac:dyDescent="0.2">
      <c r="A20" s="34"/>
      <c r="B20" s="45" t="str">
        <f>VLOOKUP("&lt;Zeilentitel_3.3&gt;",Uebersetzungen!$B$3:$E$83,Uebersetzungen!$B$2+1,FALSE)</f>
        <v>45-64</v>
      </c>
      <c r="C20" s="132">
        <v>59159.999999999352</v>
      </c>
      <c r="D20" s="86">
        <v>3.741696772099647</v>
      </c>
      <c r="E20" s="138">
        <v>387.66769960285075</v>
      </c>
      <c r="F20" s="127">
        <v>55.820516368709058</v>
      </c>
      <c r="G20" s="93">
        <v>258.70832738044265</v>
      </c>
      <c r="H20" s="88">
        <v>68.376983196165455</v>
      </c>
      <c r="I20" s="66">
        <v>294.57138409134296</v>
      </c>
      <c r="J20" s="88">
        <v>64.453324839811302</v>
      </c>
      <c r="K20" s="57" t="s">
        <v>279</v>
      </c>
      <c r="L20" s="62" t="s">
        <v>279</v>
      </c>
      <c r="M20" s="57" t="s">
        <v>279</v>
      </c>
      <c r="N20" s="86" t="s">
        <v>279</v>
      </c>
      <c r="O20" s="61" t="s">
        <v>279</v>
      </c>
      <c r="P20" s="86" t="s">
        <v>279</v>
      </c>
      <c r="Q20" s="57" t="s">
        <v>279</v>
      </c>
      <c r="R20" s="62" t="s">
        <v>279</v>
      </c>
      <c r="S20" s="57" t="s">
        <v>279</v>
      </c>
      <c r="T20" s="86" t="s">
        <v>279</v>
      </c>
      <c r="U20" s="57" t="s">
        <v>279</v>
      </c>
      <c r="V20" s="100" t="s">
        <v>279</v>
      </c>
    </row>
    <row r="21" spans="1:22" x14ac:dyDescent="0.2">
      <c r="A21" s="34"/>
      <c r="B21" s="45" t="str">
        <f>VLOOKUP("&lt;Zeilentitel_3.4&gt;",Uebersetzungen!$B$3:$E$83,Uebersetzungen!$B$2+1,FALSE)</f>
        <v>65 und älter</v>
      </c>
      <c r="C21" s="132">
        <v>45190.99999999888</v>
      </c>
      <c r="D21" s="86">
        <v>4.5137334996911402</v>
      </c>
      <c r="E21" s="138">
        <v>201.11445139057955</v>
      </c>
      <c r="F21" s="127">
        <v>78.891081119617141</v>
      </c>
      <c r="G21" s="57" t="s">
        <v>279</v>
      </c>
      <c r="H21" s="86" t="s">
        <v>279</v>
      </c>
      <c r="I21" s="61" t="s">
        <v>279</v>
      </c>
      <c r="J21" s="86" t="s">
        <v>279</v>
      </c>
      <c r="K21" s="57" t="s">
        <v>279</v>
      </c>
      <c r="L21" s="62" t="s">
        <v>279</v>
      </c>
      <c r="M21" s="57" t="s">
        <v>279</v>
      </c>
      <c r="N21" s="86" t="s">
        <v>279</v>
      </c>
      <c r="O21" s="61" t="s">
        <v>279</v>
      </c>
      <c r="P21" s="86" t="s">
        <v>279</v>
      </c>
      <c r="Q21" s="57" t="s">
        <v>279</v>
      </c>
      <c r="R21" s="62" t="s">
        <v>279</v>
      </c>
      <c r="S21" s="57" t="s">
        <v>279</v>
      </c>
      <c r="T21" s="86" t="s">
        <v>279</v>
      </c>
      <c r="U21" s="57" t="s">
        <v>279</v>
      </c>
      <c r="V21" s="100" t="s">
        <v>279</v>
      </c>
    </row>
    <row r="22" spans="1:22" x14ac:dyDescent="0.2">
      <c r="A22" s="30" t="str">
        <f>VLOOKUP("&lt;Zeilentitel_4&gt;",Uebersetzungen!$B$3:$E$83,Uebersetzungen!$B$2+1,FALSE)</f>
        <v>Staatsangehörigkeit</v>
      </c>
      <c r="B22" s="43" t="str">
        <f>VLOOKUP("&lt;Zeilentitel_4.1&gt;",Uebersetzungen!$B$3:$E$83,Uebersetzungen!$B$2+1,FALSE)</f>
        <v>Schweiz</v>
      </c>
      <c r="C22" s="146">
        <v>139295.99999999686</v>
      </c>
      <c r="D22" s="106">
        <v>1.3380059828042621</v>
      </c>
      <c r="E22" s="147">
        <v>12930.928627872154</v>
      </c>
      <c r="F22" s="148">
        <v>10.022925525318888</v>
      </c>
      <c r="G22" s="105">
        <v>10853.584734387299</v>
      </c>
      <c r="H22" s="106">
        <v>11.025021981530639</v>
      </c>
      <c r="I22" s="110">
        <v>6162.116145961204</v>
      </c>
      <c r="J22" s="106">
        <v>14.916878501313905</v>
      </c>
      <c r="K22" s="105" t="s">
        <v>279</v>
      </c>
      <c r="L22" s="109" t="s">
        <v>279</v>
      </c>
      <c r="M22" s="122">
        <v>399.11966989053133</v>
      </c>
      <c r="N22" s="121">
        <v>58.360005365344975</v>
      </c>
      <c r="O22" s="110">
        <v>2153.4982176598464</v>
      </c>
      <c r="P22" s="106">
        <v>25.324486175130396</v>
      </c>
      <c r="Q22" s="125">
        <v>1419.67403901835</v>
      </c>
      <c r="R22" s="123">
        <v>30.907797992875597</v>
      </c>
      <c r="S22" s="105">
        <v>3199.949115121432</v>
      </c>
      <c r="T22" s="106">
        <v>21.267462103339753</v>
      </c>
      <c r="U22" s="122">
        <v>260.86634820918925</v>
      </c>
      <c r="V22" s="149">
        <v>73.213315839295475</v>
      </c>
    </row>
    <row r="23" spans="1:22" x14ac:dyDescent="0.2">
      <c r="A23" s="32"/>
      <c r="B23" s="45" t="str">
        <f>VLOOKUP("&lt;Zeilentitel_4.2&gt;",Uebersetzungen!$B$3:$E$83,Uebersetzungen!$B$2+1,FALSE)</f>
        <v>EU und EFTA</v>
      </c>
      <c r="C23" s="132">
        <v>27958.370138491267</v>
      </c>
      <c r="D23" s="86">
        <v>6.6025354696032874</v>
      </c>
      <c r="E23" s="139">
        <v>1868.8738185300945</v>
      </c>
      <c r="F23" s="127">
        <v>28.808430296790743</v>
      </c>
      <c r="G23" s="87">
        <v>1663.6909192795588</v>
      </c>
      <c r="H23" s="88">
        <v>30.55896951942967</v>
      </c>
      <c r="I23" s="64">
        <v>1121.6519555531991</v>
      </c>
      <c r="J23" s="88">
        <v>37.289719382472484</v>
      </c>
      <c r="K23" s="57" t="s">
        <v>279</v>
      </c>
      <c r="L23" s="62" t="s">
        <v>279</v>
      </c>
      <c r="M23" s="57" t="s">
        <v>279</v>
      </c>
      <c r="N23" s="86" t="s">
        <v>279</v>
      </c>
      <c r="O23" s="66">
        <v>426.58883758573518</v>
      </c>
      <c r="P23" s="88">
        <v>61.325063717853844</v>
      </c>
      <c r="Q23" s="57" t="s">
        <v>279</v>
      </c>
      <c r="R23" s="62" t="s">
        <v>279</v>
      </c>
      <c r="S23" s="93">
        <v>283.38956100921075</v>
      </c>
      <c r="T23" s="88">
        <v>73.088718788544412</v>
      </c>
      <c r="U23" s="93">
        <v>261.69890165563663</v>
      </c>
      <c r="V23" s="101">
        <v>79.262298799178708</v>
      </c>
    </row>
    <row r="24" spans="1:22" x14ac:dyDescent="0.2">
      <c r="A24" s="32"/>
      <c r="B24" s="45" t="str">
        <f>VLOOKUP("&lt;Zeilentitel_4.3&gt;",Uebersetzungen!$B$3:$E$83,Uebersetzungen!$B$2+1,FALSE)</f>
        <v>Anderer europäischer Staat</v>
      </c>
      <c r="C24" s="132">
        <v>3796.6133258198633</v>
      </c>
      <c r="D24" s="86">
        <v>20.62741191471196</v>
      </c>
      <c r="E24" s="138">
        <v>309.44420859257667</v>
      </c>
      <c r="F24" s="127">
        <v>73.714143429936485</v>
      </c>
      <c r="G24" s="57" t="s">
        <v>279</v>
      </c>
      <c r="H24" s="86" t="s">
        <v>279</v>
      </c>
      <c r="I24" s="61" t="s">
        <v>279</v>
      </c>
      <c r="J24" s="86" t="s">
        <v>279</v>
      </c>
      <c r="K24" s="57" t="s">
        <v>279</v>
      </c>
      <c r="L24" s="62" t="s">
        <v>279</v>
      </c>
      <c r="M24" s="57" t="s">
        <v>279</v>
      </c>
      <c r="N24" s="86" t="s">
        <v>279</v>
      </c>
      <c r="O24" s="61" t="s">
        <v>279</v>
      </c>
      <c r="P24" s="86" t="s">
        <v>279</v>
      </c>
      <c r="Q24" s="57" t="s">
        <v>279</v>
      </c>
      <c r="R24" s="62" t="s">
        <v>279</v>
      </c>
      <c r="S24" s="57" t="s">
        <v>279</v>
      </c>
      <c r="T24" s="86" t="s">
        <v>279</v>
      </c>
      <c r="U24" s="57" t="s">
        <v>279</v>
      </c>
      <c r="V24" s="100" t="s">
        <v>279</v>
      </c>
    </row>
    <row r="25" spans="1:22" x14ac:dyDescent="0.2">
      <c r="A25" s="32"/>
      <c r="B25" s="45" t="str">
        <f>VLOOKUP("&lt;Zeilentitel_4.4&gt;",Uebersetzungen!$B$3:$E$83,Uebersetzungen!$B$2+1,FALSE)</f>
        <v>Andere Staaten</v>
      </c>
      <c r="C25" s="132">
        <v>3560.0165356888847</v>
      </c>
      <c r="D25" s="86">
        <v>20.772325995727456</v>
      </c>
      <c r="E25" s="138">
        <v>508.449399894637</v>
      </c>
      <c r="F25" s="127">
        <v>56.14765752899563</v>
      </c>
      <c r="G25" s="93">
        <v>345.51699493368221</v>
      </c>
      <c r="H25" s="88">
        <v>68.902344968225492</v>
      </c>
      <c r="I25" s="66">
        <v>508.449399894637</v>
      </c>
      <c r="J25" s="88">
        <v>56.14765752899563</v>
      </c>
      <c r="K25" s="57" t="s">
        <v>279</v>
      </c>
      <c r="L25" s="62" t="s">
        <v>279</v>
      </c>
      <c r="M25" s="57" t="s">
        <v>279</v>
      </c>
      <c r="N25" s="86" t="s">
        <v>279</v>
      </c>
      <c r="O25" s="61" t="s">
        <v>279</v>
      </c>
      <c r="P25" s="86" t="s">
        <v>279</v>
      </c>
      <c r="Q25" s="57" t="s">
        <v>279</v>
      </c>
      <c r="R25" s="62" t="s">
        <v>279</v>
      </c>
      <c r="S25" s="57" t="s">
        <v>279</v>
      </c>
      <c r="T25" s="86" t="s">
        <v>279</v>
      </c>
      <c r="U25" s="57" t="s">
        <v>279</v>
      </c>
      <c r="V25" s="100" t="s">
        <v>279</v>
      </c>
    </row>
    <row r="26" spans="1:22" x14ac:dyDescent="0.2">
      <c r="A26" s="31"/>
      <c r="B26" s="45" t="str">
        <f>VLOOKUP("&lt;Zeilentitel_4.5&gt;",Uebersetzungen!$B$3:$E$83,Uebersetzungen!$B$2+1,FALSE)</f>
        <v>Staatsangehörigkeit unbekannt</v>
      </c>
      <c r="C26" s="150" t="s">
        <v>279</v>
      </c>
      <c r="D26" s="113" t="s">
        <v>279</v>
      </c>
      <c r="E26" s="151" t="s">
        <v>279</v>
      </c>
      <c r="F26" s="128" t="s">
        <v>279</v>
      </c>
      <c r="G26" s="112" t="s">
        <v>279</v>
      </c>
      <c r="H26" s="113" t="s">
        <v>279</v>
      </c>
      <c r="I26" s="72" t="s">
        <v>279</v>
      </c>
      <c r="J26" s="113" t="s">
        <v>279</v>
      </c>
      <c r="K26" s="112" t="s">
        <v>279</v>
      </c>
      <c r="L26" s="73" t="s">
        <v>279</v>
      </c>
      <c r="M26" s="112" t="s">
        <v>279</v>
      </c>
      <c r="N26" s="113" t="s">
        <v>279</v>
      </c>
      <c r="O26" s="72" t="s">
        <v>279</v>
      </c>
      <c r="P26" s="113" t="s">
        <v>279</v>
      </c>
      <c r="Q26" s="112" t="s">
        <v>279</v>
      </c>
      <c r="R26" s="73" t="s">
        <v>279</v>
      </c>
      <c r="S26" s="112" t="s">
        <v>279</v>
      </c>
      <c r="T26" s="113" t="s">
        <v>279</v>
      </c>
      <c r="U26" s="112" t="s">
        <v>279</v>
      </c>
      <c r="V26" s="117" t="s">
        <v>279</v>
      </c>
    </row>
    <row r="27" spans="1:22" x14ac:dyDescent="0.2">
      <c r="A27" s="30" t="str">
        <f>VLOOKUP("&lt;Zeilentitel_5&gt;",Uebersetzungen!$B$3:$E$83,Uebersetzungen!$B$2+1,FALSE)</f>
        <v>Migrationsstatus</v>
      </c>
      <c r="B27" s="43" t="str">
        <f>VLOOKUP("&lt;Zeilentitel_5.1&gt;",Uebersetzungen!$B$3:$E$83,Uebersetzungen!$B$2+1,FALSE)</f>
        <v>Schweizer/innen ohne Migrationshintergrund</v>
      </c>
      <c r="C27" s="132">
        <v>120977.06466215999</v>
      </c>
      <c r="D27" s="86">
        <v>1.7908926997663919</v>
      </c>
      <c r="E27" s="54">
        <v>11372.750488166976</v>
      </c>
      <c r="F27" s="126">
        <v>10.735396467665305</v>
      </c>
      <c r="G27" s="57">
        <v>9618.534901736406</v>
      </c>
      <c r="H27" s="86">
        <v>11.74877880327884</v>
      </c>
      <c r="I27" s="61">
        <v>5222.0474637091502</v>
      </c>
      <c r="J27" s="86">
        <v>16.245957277149255</v>
      </c>
      <c r="K27" s="57" t="s">
        <v>279</v>
      </c>
      <c r="L27" s="62" t="s">
        <v>279</v>
      </c>
      <c r="M27" s="93">
        <v>365.26592753095372</v>
      </c>
      <c r="N27" s="88">
        <v>61.21525494037153</v>
      </c>
      <c r="O27" s="64">
        <v>1784.6883133324627</v>
      </c>
      <c r="P27" s="88">
        <v>27.87349344410519</v>
      </c>
      <c r="Q27" s="87">
        <v>1350.2899119246249</v>
      </c>
      <c r="R27" s="65">
        <v>31.740712444754461</v>
      </c>
      <c r="S27" s="57">
        <v>2798.8200577239377</v>
      </c>
      <c r="T27" s="86">
        <v>22.722401909937862</v>
      </c>
      <c r="U27" s="57" t="s">
        <v>279</v>
      </c>
      <c r="V27" s="100" t="s">
        <v>279</v>
      </c>
    </row>
    <row r="28" spans="1:22" x14ac:dyDescent="0.2">
      <c r="A28" s="32"/>
      <c r="B28" s="45" t="str">
        <f>VLOOKUP("&lt;Zeilentitel_5.2&gt;",Uebersetzungen!$B$3:$E$83,Uebersetzungen!$B$2+1,FALSE)</f>
        <v>Schweizer/innen mit Migrationshintergrund</v>
      </c>
      <c r="C28" s="132">
        <v>17229.463930897578</v>
      </c>
      <c r="D28" s="86">
        <v>8.1676596389216289</v>
      </c>
      <c r="E28" s="139">
        <v>1481.7422226033764</v>
      </c>
      <c r="F28" s="127">
        <v>30.54978719999934</v>
      </c>
      <c r="G28" s="87">
        <v>1158.6139155490896</v>
      </c>
      <c r="H28" s="88">
        <v>34.720415157384544</v>
      </c>
      <c r="I28" s="66">
        <v>899.99750183698052</v>
      </c>
      <c r="J28" s="88">
        <v>39.533588069197798</v>
      </c>
      <c r="K28" s="57" t="s">
        <v>279</v>
      </c>
      <c r="L28" s="62" t="s">
        <v>279</v>
      </c>
      <c r="M28" s="57" t="s">
        <v>279</v>
      </c>
      <c r="N28" s="86" t="s">
        <v>279</v>
      </c>
      <c r="O28" s="66">
        <v>332.44516764065554</v>
      </c>
      <c r="P28" s="88">
        <v>64.53363452209031</v>
      </c>
      <c r="Q28" s="57" t="s">
        <v>279</v>
      </c>
      <c r="R28" s="62" t="s">
        <v>279</v>
      </c>
      <c r="S28" s="93">
        <v>401.12905739749419</v>
      </c>
      <c r="T28" s="88">
        <v>61.258813360005547</v>
      </c>
      <c r="U28" s="57" t="s">
        <v>279</v>
      </c>
      <c r="V28" s="100" t="s">
        <v>279</v>
      </c>
    </row>
    <row r="29" spans="1:22" x14ac:dyDescent="0.2">
      <c r="A29" s="32"/>
      <c r="B29" s="45" t="str">
        <f>VLOOKUP("&lt;Zeilentitel_5.3&gt;",Uebersetzungen!$B$3:$E$83,Uebersetzungen!$B$2+1,FALSE)</f>
        <v>Ausländer/innen der ersten Generation</v>
      </c>
      <c r="C29" s="132">
        <v>33029.912874495312</v>
      </c>
      <c r="D29" s="86">
        <v>6.0597300136581715</v>
      </c>
      <c r="E29" s="139">
        <v>1781.9942003412129</v>
      </c>
      <c r="F29" s="127">
        <v>29.87795474657155</v>
      </c>
      <c r="G29" s="87">
        <v>1358.5976024130941</v>
      </c>
      <c r="H29" s="88">
        <v>34.264690234367997</v>
      </c>
      <c r="I29" s="64">
        <v>1265.0852371496844</v>
      </c>
      <c r="J29" s="88">
        <v>35.425074894389809</v>
      </c>
      <c r="K29" s="57" t="s">
        <v>279</v>
      </c>
      <c r="L29" s="62" t="s">
        <v>279</v>
      </c>
      <c r="M29" s="57" t="s">
        <v>279</v>
      </c>
      <c r="N29" s="86" t="s">
        <v>279</v>
      </c>
      <c r="O29" s="66">
        <v>264.96251049412774</v>
      </c>
      <c r="P29" s="88">
        <v>79.175705768551865</v>
      </c>
      <c r="Q29" s="57" t="s">
        <v>279</v>
      </c>
      <c r="R29" s="62" t="s">
        <v>279</v>
      </c>
      <c r="S29" s="93">
        <v>280.08030865573596</v>
      </c>
      <c r="T29" s="88">
        <v>73.175144261977991</v>
      </c>
      <c r="U29" s="93">
        <v>264.56380713937699</v>
      </c>
      <c r="V29" s="101">
        <v>79.585331388105075</v>
      </c>
    </row>
    <row r="30" spans="1:22" ht="25.5" x14ac:dyDescent="0.2">
      <c r="A30" s="32"/>
      <c r="B30" s="45" t="str">
        <f>VLOOKUP("&lt;Zeilentitel_5.4&gt;",Uebersetzungen!$B$3:$E$83,Uebersetzungen!$B$2+1,FALSE)</f>
        <v>Ausländer/innen der zweiten und höheren Generation</v>
      </c>
      <c r="C30" s="132">
        <v>2242.1687357672199</v>
      </c>
      <c r="D30" s="86">
        <v>25.999294713757738</v>
      </c>
      <c r="E30" s="138">
        <v>861.85483693864205</v>
      </c>
      <c r="F30" s="127">
        <v>42.314052622946114</v>
      </c>
      <c r="G30" s="93">
        <v>788.60730191054267</v>
      </c>
      <c r="H30" s="88">
        <v>44.485693221414962</v>
      </c>
      <c r="I30" s="66">
        <v>526.11668960712871</v>
      </c>
      <c r="J30" s="88">
        <v>53.679216037592703</v>
      </c>
      <c r="K30" s="57" t="s">
        <v>279</v>
      </c>
      <c r="L30" s="62" t="s">
        <v>279</v>
      </c>
      <c r="M30" s="57" t="s">
        <v>279</v>
      </c>
      <c r="N30" s="86" t="s">
        <v>279</v>
      </c>
      <c r="O30" s="61" t="s">
        <v>279</v>
      </c>
      <c r="P30" s="86" t="s">
        <v>279</v>
      </c>
      <c r="Q30" s="57" t="s">
        <v>279</v>
      </c>
      <c r="R30" s="62" t="s">
        <v>279</v>
      </c>
      <c r="S30" s="57" t="s">
        <v>279</v>
      </c>
      <c r="T30" s="86" t="s">
        <v>279</v>
      </c>
      <c r="U30" s="57" t="s">
        <v>279</v>
      </c>
      <c r="V30" s="100" t="s">
        <v>279</v>
      </c>
    </row>
    <row r="31" spans="1:22" x14ac:dyDescent="0.2">
      <c r="A31" s="31"/>
      <c r="B31" s="45" t="str">
        <f>VLOOKUP("&lt;Zeilentitel_5.5&gt;",Uebersetzungen!$B$3:$E$83,Uebersetzungen!$B$2+1,FALSE)</f>
        <v>Migrationshintergrund unbekannt</v>
      </c>
      <c r="C31" s="133">
        <v>1132.389796676722</v>
      </c>
      <c r="D31" s="88">
        <v>34.31028951458643</v>
      </c>
      <c r="E31" s="54" t="s">
        <v>279</v>
      </c>
      <c r="F31" s="126" t="s">
        <v>279</v>
      </c>
      <c r="G31" s="57" t="s">
        <v>279</v>
      </c>
      <c r="H31" s="86" t="s">
        <v>279</v>
      </c>
      <c r="I31" s="61" t="s">
        <v>279</v>
      </c>
      <c r="J31" s="86" t="s">
        <v>279</v>
      </c>
      <c r="K31" s="57" t="s">
        <v>279</v>
      </c>
      <c r="L31" s="62" t="s">
        <v>279</v>
      </c>
      <c r="M31" s="57" t="s">
        <v>279</v>
      </c>
      <c r="N31" s="86" t="s">
        <v>279</v>
      </c>
      <c r="O31" s="61" t="s">
        <v>279</v>
      </c>
      <c r="P31" s="86" t="s">
        <v>279</v>
      </c>
      <c r="Q31" s="57" t="s">
        <v>279</v>
      </c>
      <c r="R31" s="62" t="s">
        <v>279</v>
      </c>
      <c r="S31" s="57" t="s">
        <v>279</v>
      </c>
      <c r="T31" s="86" t="s">
        <v>279</v>
      </c>
      <c r="U31" s="57" t="s">
        <v>279</v>
      </c>
      <c r="V31" s="100" t="s">
        <v>279</v>
      </c>
    </row>
    <row r="32" spans="1:22" x14ac:dyDescent="0.2">
      <c r="A32" s="30" t="str">
        <f>VLOOKUP("&lt;Zeilentitel_6&gt;",Uebersetzungen!$B$3:$E$83,Uebersetzungen!$B$2+1,FALSE)</f>
        <v>Arbeitsmarktstatus</v>
      </c>
      <c r="B32" s="43" t="str">
        <f>VLOOKUP("&lt;T2Zeilentitel_6.1&gt;",Uebersetzungen!$B$3:$E$83,Uebersetzungen!$B$2+1,FALSE)</f>
        <v>Erwerbstätige</v>
      </c>
      <c r="C32" s="146">
        <v>106960.13753694596</v>
      </c>
      <c r="D32" s="106">
        <v>2.2331374480020294</v>
      </c>
      <c r="E32" s="147">
        <v>7094.1499334871824</v>
      </c>
      <c r="F32" s="148">
        <v>13.877172658330872</v>
      </c>
      <c r="G32" s="105">
        <v>6064.498768854125</v>
      </c>
      <c r="H32" s="106">
        <v>15.07486734626668</v>
      </c>
      <c r="I32" s="110">
        <v>2912.6842299014957</v>
      </c>
      <c r="J32" s="106">
        <v>22.174299935619004</v>
      </c>
      <c r="K32" s="105" t="s">
        <v>279</v>
      </c>
      <c r="L32" s="109" t="s">
        <v>279</v>
      </c>
      <c r="M32" s="105" t="s">
        <v>279</v>
      </c>
      <c r="N32" s="106" t="s">
        <v>279</v>
      </c>
      <c r="O32" s="124">
        <v>1310.1824631898255</v>
      </c>
      <c r="P32" s="121">
        <v>33.281021780922089</v>
      </c>
      <c r="Q32" s="122">
        <v>642.72075914189838</v>
      </c>
      <c r="R32" s="123">
        <v>46.919217680052384</v>
      </c>
      <c r="S32" s="125">
        <v>1481.1579652926737</v>
      </c>
      <c r="T32" s="121">
        <v>31.405489017966911</v>
      </c>
      <c r="U32" s="122">
        <v>421.11423402278098</v>
      </c>
      <c r="V32" s="149">
        <v>61.636963538857266</v>
      </c>
    </row>
    <row r="33" spans="1:22" x14ac:dyDescent="0.2">
      <c r="A33" s="32"/>
      <c r="B33" s="45" t="str">
        <f>VLOOKUP("&lt;T2Zeilentitel_6.2&gt;",Uebersetzungen!$B$3:$E$83,Uebersetzungen!$B$2+1,FALSE)</f>
        <v>Erwerbslose</v>
      </c>
      <c r="C33" s="132">
        <v>2294.1767169753762</v>
      </c>
      <c r="D33" s="86">
        <v>25.854640307180482</v>
      </c>
      <c r="E33" s="54" t="s">
        <v>279</v>
      </c>
      <c r="F33" s="126" t="s">
        <v>279</v>
      </c>
      <c r="G33" s="57" t="s">
        <v>279</v>
      </c>
      <c r="H33" s="86" t="s">
        <v>279</v>
      </c>
      <c r="I33" s="61" t="s">
        <v>279</v>
      </c>
      <c r="J33" s="86" t="s">
        <v>279</v>
      </c>
      <c r="K33" s="57" t="s">
        <v>279</v>
      </c>
      <c r="L33" s="62" t="s">
        <v>279</v>
      </c>
      <c r="M33" s="57" t="s">
        <v>279</v>
      </c>
      <c r="N33" s="86" t="s">
        <v>279</v>
      </c>
      <c r="O33" s="61" t="s">
        <v>279</v>
      </c>
      <c r="P33" s="86" t="s">
        <v>279</v>
      </c>
      <c r="Q33" s="57" t="s">
        <v>279</v>
      </c>
      <c r="R33" s="62" t="s">
        <v>279</v>
      </c>
      <c r="S33" s="57" t="s">
        <v>279</v>
      </c>
      <c r="T33" s="86" t="s">
        <v>279</v>
      </c>
      <c r="U33" s="57" t="s">
        <v>279</v>
      </c>
      <c r="V33" s="100" t="s">
        <v>279</v>
      </c>
    </row>
    <row r="34" spans="1:22" x14ac:dyDescent="0.2">
      <c r="A34" s="31"/>
      <c r="B34" s="45" t="str">
        <f>VLOOKUP("&lt;T2Zeilentitel_6.3&gt;",Uebersetzungen!$B$3:$E$83,Uebersetzungen!$B$2+1,FALSE)</f>
        <v>Nichterwerbspersonen</v>
      </c>
      <c r="C34" s="150">
        <v>65356.685746075993</v>
      </c>
      <c r="D34" s="113">
        <v>3.5383544715876383</v>
      </c>
      <c r="E34" s="151">
        <v>8413.4186460655783</v>
      </c>
      <c r="F34" s="128">
        <v>12.780310240982766</v>
      </c>
      <c r="G34" s="112">
        <v>6869.0817842575652</v>
      </c>
      <c r="H34" s="113">
        <v>14.224697577429971</v>
      </c>
      <c r="I34" s="72">
        <v>4966.4486574154262</v>
      </c>
      <c r="J34" s="113">
        <v>16.882789232676217</v>
      </c>
      <c r="K34" s="112" t="s">
        <v>279</v>
      </c>
      <c r="L34" s="73" t="s">
        <v>279</v>
      </c>
      <c r="M34" s="118">
        <v>251.50326755940665</v>
      </c>
      <c r="N34" s="115">
        <v>73.110514279778855</v>
      </c>
      <c r="O34" s="77">
        <v>1269.9045920557562</v>
      </c>
      <c r="P34" s="115">
        <v>33.114591547497803</v>
      </c>
      <c r="Q34" s="118">
        <v>940.95487711086537</v>
      </c>
      <c r="R34" s="76">
        <v>37.929835448718975</v>
      </c>
      <c r="S34" s="112">
        <v>1996.5033794449619</v>
      </c>
      <c r="T34" s="113">
        <v>27.027566611489149</v>
      </c>
      <c r="U34" s="118">
        <v>227.34804604555092</v>
      </c>
      <c r="V34" s="119">
        <v>79.013853266162272</v>
      </c>
    </row>
    <row r="35" spans="1:22" x14ac:dyDescent="0.2">
      <c r="A35" s="32" t="str">
        <f>VLOOKUP("&lt;Zeilentitel_7&gt;",Uebersetzungen!$B$3:$E$83,Uebersetzungen!$B$2+1,FALSE)</f>
        <v>Sozioprofessionelle Kategorien</v>
      </c>
      <c r="B35" s="43" t="str">
        <f>VLOOKUP("&lt;Zeilentitel_7.1&gt;",Uebersetzungen!$B$3:$E$83,Uebersetzungen!$B$2+1,FALSE)</f>
        <v>Oberstes Management</v>
      </c>
      <c r="C35" s="132">
        <v>2692.4614986601086</v>
      </c>
      <c r="D35" s="86">
        <v>21.746551361625539</v>
      </c>
      <c r="E35" s="54" t="s">
        <v>279</v>
      </c>
      <c r="F35" s="126" t="s">
        <v>279</v>
      </c>
      <c r="G35" s="57" t="s">
        <v>279</v>
      </c>
      <c r="H35" s="86" t="s">
        <v>279</v>
      </c>
      <c r="I35" s="61" t="s">
        <v>279</v>
      </c>
      <c r="J35" s="86" t="s">
        <v>279</v>
      </c>
      <c r="K35" s="57" t="s">
        <v>279</v>
      </c>
      <c r="L35" s="62" t="s">
        <v>279</v>
      </c>
      <c r="M35" s="57" t="s">
        <v>279</v>
      </c>
      <c r="N35" s="86" t="s">
        <v>279</v>
      </c>
      <c r="O35" s="61" t="s">
        <v>279</v>
      </c>
      <c r="P35" s="86" t="s">
        <v>279</v>
      </c>
      <c r="Q35" s="57" t="s">
        <v>279</v>
      </c>
      <c r="R35" s="62" t="s">
        <v>279</v>
      </c>
      <c r="S35" s="57" t="s">
        <v>279</v>
      </c>
      <c r="T35" s="86" t="s">
        <v>279</v>
      </c>
      <c r="U35" s="57" t="s">
        <v>279</v>
      </c>
      <c r="V35" s="100" t="s">
        <v>279</v>
      </c>
    </row>
    <row r="36" spans="1:22" x14ac:dyDescent="0.2">
      <c r="A36" s="33"/>
      <c r="B36" s="45" t="str">
        <f>VLOOKUP("&lt;Zeilentitel_7.2&gt;",Uebersetzungen!$B$3:$E$83,Uebersetzungen!$B$2+1,FALSE)</f>
        <v>Freie und gleichgestellte Berufe</v>
      </c>
      <c r="C36" s="132">
        <v>2805.8072395718664</v>
      </c>
      <c r="D36" s="86">
        <v>21.179835407272375</v>
      </c>
      <c r="E36" s="54" t="s">
        <v>279</v>
      </c>
      <c r="F36" s="126" t="s">
        <v>279</v>
      </c>
      <c r="G36" s="57" t="s">
        <v>279</v>
      </c>
      <c r="H36" s="86" t="s">
        <v>279</v>
      </c>
      <c r="I36" s="61" t="s">
        <v>279</v>
      </c>
      <c r="J36" s="86" t="s">
        <v>279</v>
      </c>
      <c r="K36" s="57" t="s">
        <v>279</v>
      </c>
      <c r="L36" s="62" t="s">
        <v>279</v>
      </c>
      <c r="M36" s="57" t="s">
        <v>279</v>
      </c>
      <c r="N36" s="86" t="s">
        <v>279</v>
      </c>
      <c r="O36" s="61" t="s">
        <v>279</v>
      </c>
      <c r="P36" s="86" t="s">
        <v>279</v>
      </c>
      <c r="Q36" s="57" t="s">
        <v>279</v>
      </c>
      <c r="R36" s="62" t="s">
        <v>279</v>
      </c>
      <c r="S36" s="57" t="s">
        <v>279</v>
      </c>
      <c r="T36" s="86" t="s">
        <v>279</v>
      </c>
      <c r="U36" s="57" t="s">
        <v>279</v>
      </c>
      <c r="V36" s="100" t="s">
        <v>279</v>
      </c>
    </row>
    <row r="37" spans="1:22" x14ac:dyDescent="0.2">
      <c r="A37" s="34"/>
      <c r="B37" s="45" t="str">
        <f>VLOOKUP("&lt;Zeilentitel_7.3&gt;",Uebersetzungen!$B$3:$E$83,Uebersetzungen!$B$2+1,FALSE)</f>
        <v>Andere Selbstständige</v>
      </c>
      <c r="C37" s="132">
        <v>12242.053867118348</v>
      </c>
      <c r="D37" s="86">
        <v>10.034434969579337</v>
      </c>
      <c r="E37" s="54" t="s">
        <v>279</v>
      </c>
      <c r="F37" s="126" t="s">
        <v>279</v>
      </c>
      <c r="G37" s="57" t="s">
        <v>279</v>
      </c>
      <c r="H37" s="86" t="s">
        <v>279</v>
      </c>
      <c r="I37" s="61" t="s">
        <v>279</v>
      </c>
      <c r="J37" s="86" t="s">
        <v>279</v>
      </c>
      <c r="K37" s="57" t="s">
        <v>279</v>
      </c>
      <c r="L37" s="62" t="s">
        <v>279</v>
      </c>
      <c r="M37" s="57" t="s">
        <v>279</v>
      </c>
      <c r="N37" s="86" t="s">
        <v>279</v>
      </c>
      <c r="O37" s="61" t="s">
        <v>279</v>
      </c>
      <c r="P37" s="86" t="s">
        <v>279</v>
      </c>
      <c r="Q37" s="57" t="s">
        <v>279</v>
      </c>
      <c r="R37" s="62" t="s">
        <v>279</v>
      </c>
      <c r="S37" s="57" t="s">
        <v>279</v>
      </c>
      <c r="T37" s="86" t="s">
        <v>279</v>
      </c>
      <c r="U37" s="57" t="s">
        <v>279</v>
      </c>
      <c r="V37" s="100" t="s">
        <v>279</v>
      </c>
    </row>
    <row r="38" spans="1:22" x14ac:dyDescent="0.2">
      <c r="A38" s="34"/>
      <c r="B38" s="45" t="str">
        <f>VLOOKUP("&lt;Zeilentitel_7.4&gt;",Uebersetzungen!$B$3:$E$83,Uebersetzungen!$B$2+1,FALSE)</f>
        <v>Akademische Berufe und oberes Kader</v>
      </c>
      <c r="C38" s="132">
        <v>16131.724467909726</v>
      </c>
      <c r="D38" s="86">
        <v>8.5165148068226362</v>
      </c>
      <c r="E38" s="139">
        <v>1154.9359336454172</v>
      </c>
      <c r="F38" s="127">
        <v>34.321952482178354</v>
      </c>
      <c r="G38" s="93">
        <v>800.3113233156979</v>
      </c>
      <c r="H38" s="88">
        <v>41.422336789394059</v>
      </c>
      <c r="I38" s="66">
        <v>921.60724246870348</v>
      </c>
      <c r="J38" s="88">
        <v>38.871887341693267</v>
      </c>
      <c r="K38" s="57" t="s">
        <v>279</v>
      </c>
      <c r="L38" s="62" t="s">
        <v>279</v>
      </c>
      <c r="M38" s="57" t="s">
        <v>279</v>
      </c>
      <c r="N38" s="86" t="s">
        <v>279</v>
      </c>
      <c r="O38" s="66">
        <v>291.02563655044503</v>
      </c>
      <c r="P38" s="88">
        <v>73.458039345497085</v>
      </c>
      <c r="Q38" s="57" t="s">
        <v>279</v>
      </c>
      <c r="R38" s="62" t="s">
        <v>279</v>
      </c>
      <c r="S38" s="93">
        <v>471.21665255910534</v>
      </c>
      <c r="T38" s="88">
        <v>56.153383601500487</v>
      </c>
      <c r="U38" s="57" t="s">
        <v>279</v>
      </c>
      <c r="V38" s="100" t="s">
        <v>279</v>
      </c>
    </row>
    <row r="39" spans="1:22" x14ac:dyDescent="0.2">
      <c r="A39" s="34"/>
      <c r="B39" s="45" t="str">
        <f>VLOOKUP("&lt;Zeilentitel_7.5&gt;",Uebersetzungen!$B$3:$E$83,Uebersetzungen!$B$2+1,FALSE)</f>
        <v>Intermediäre Berufe</v>
      </c>
      <c r="C39" s="132">
        <v>32353.683494224042</v>
      </c>
      <c r="D39" s="86">
        <v>5.7730507066936791</v>
      </c>
      <c r="E39" s="139">
        <v>1589.769880449684</v>
      </c>
      <c r="F39" s="127">
        <v>30.236858883876526</v>
      </c>
      <c r="G39" s="87">
        <v>1360.4867821491764</v>
      </c>
      <c r="H39" s="88">
        <v>32.752776043348277</v>
      </c>
      <c r="I39" s="66">
        <v>795.85263273831492</v>
      </c>
      <c r="J39" s="88">
        <v>43.360757725554954</v>
      </c>
      <c r="K39" s="57" t="s">
        <v>279</v>
      </c>
      <c r="L39" s="62" t="s">
        <v>279</v>
      </c>
      <c r="M39" s="57" t="s">
        <v>279</v>
      </c>
      <c r="N39" s="86" t="s">
        <v>279</v>
      </c>
      <c r="O39" s="66">
        <v>383.75007231902481</v>
      </c>
      <c r="P39" s="88">
        <v>61.413607358623203</v>
      </c>
      <c r="Q39" s="93">
        <v>188.81913707404752</v>
      </c>
      <c r="R39" s="65">
        <v>86.619183626651235</v>
      </c>
      <c r="S39" s="93">
        <v>449.3078164237179</v>
      </c>
      <c r="T39" s="88">
        <v>58.373943501616992</v>
      </c>
      <c r="U39" s="57" t="s">
        <v>279</v>
      </c>
      <c r="V39" s="100" t="s">
        <v>279</v>
      </c>
    </row>
    <row r="40" spans="1:22" x14ac:dyDescent="0.2">
      <c r="A40" s="34"/>
      <c r="B40" s="45" t="str">
        <f>VLOOKUP("&lt;Zeilentitel_7.6&gt;",Uebersetzungen!$B$3:$E$83,Uebersetzungen!$B$2+1,FALSE)</f>
        <v>Qualifizierte nichtmanuelle Berufe</v>
      </c>
      <c r="C40" s="132">
        <v>19713.229261553559</v>
      </c>
      <c r="D40" s="86">
        <v>7.7075461590373964</v>
      </c>
      <c r="E40" s="138">
        <v>938.94036941057607</v>
      </c>
      <c r="F40" s="127">
        <v>38.65957439840367</v>
      </c>
      <c r="G40" s="93">
        <v>834.98781012094503</v>
      </c>
      <c r="H40" s="88">
        <v>41.214229474514589</v>
      </c>
      <c r="I40" s="66">
        <v>420.65670350578711</v>
      </c>
      <c r="J40" s="88">
        <v>58.372452228363379</v>
      </c>
      <c r="K40" s="57" t="s">
        <v>279</v>
      </c>
      <c r="L40" s="62" t="s">
        <v>279</v>
      </c>
      <c r="M40" s="57" t="s">
        <v>279</v>
      </c>
      <c r="N40" s="86" t="s">
        <v>279</v>
      </c>
      <c r="O40" s="66">
        <v>219.36486726775064</v>
      </c>
      <c r="P40" s="88">
        <v>79.077969024931022</v>
      </c>
      <c r="Q40" s="57" t="s">
        <v>279</v>
      </c>
      <c r="R40" s="62" t="s">
        <v>279</v>
      </c>
      <c r="S40" s="93">
        <v>233.21502224087769</v>
      </c>
      <c r="T40" s="88">
        <v>79.182590826955689</v>
      </c>
      <c r="U40" s="57" t="s">
        <v>279</v>
      </c>
      <c r="V40" s="100" t="s">
        <v>279</v>
      </c>
    </row>
    <row r="41" spans="1:22" x14ac:dyDescent="0.2">
      <c r="A41" s="34"/>
      <c r="B41" s="45" t="str">
        <f>VLOOKUP("&lt;Zeilentitel_7.7&gt;",Uebersetzungen!$B$3:$E$83,Uebersetzungen!$B$2+1,FALSE)</f>
        <v>Qualifizierte manuelle Berufe</v>
      </c>
      <c r="C41" s="132">
        <v>10072.445541539711</v>
      </c>
      <c r="D41" s="86">
        <v>11.59324813236014</v>
      </c>
      <c r="E41" s="138">
        <v>294.41758370538764</v>
      </c>
      <c r="F41" s="127">
        <v>68.364663182144241</v>
      </c>
      <c r="G41" s="93">
        <v>259.83277415085405</v>
      </c>
      <c r="H41" s="88">
        <v>73.085996547891639</v>
      </c>
      <c r="I41" s="61" t="s">
        <v>279</v>
      </c>
      <c r="J41" s="86" t="s">
        <v>279</v>
      </c>
      <c r="K41" s="57" t="s">
        <v>279</v>
      </c>
      <c r="L41" s="62" t="s">
        <v>279</v>
      </c>
      <c r="M41" s="57" t="s">
        <v>279</v>
      </c>
      <c r="N41" s="86" t="s">
        <v>279</v>
      </c>
      <c r="O41" s="61" t="s">
        <v>279</v>
      </c>
      <c r="P41" s="86" t="s">
        <v>279</v>
      </c>
      <c r="Q41" s="57" t="s">
        <v>279</v>
      </c>
      <c r="R41" s="62" t="s">
        <v>279</v>
      </c>
      <c r="S41" s="57" t="s">
        <v>279</v>
      </c>
      <c r="T41" s="86" t="s">
        <v>279</v>
      </c>
      <c r="U41" s="57" t="s">
        <v>279</v>
      </c>
      <c r="V41" s="100" t="s">
        <v>279</v>
      </c>
    </row>
    <row r="42" spans="1:22" x14ac:dyDescent="0.2">
      <c r="A42" s="34"/>
      <c r="B42" s="45" t="str">
        <f>VLOOKUP("&lt;Zeilentitel_7.8&gt;",Uebersetzungen!$B$3:$E$83,Uebersetzungen!$B$2+1,FALSE)</f>
        <v>Ungelernte Angestellte und Arbeiter</v>
      </c>
      <c r="C42" s="132">
        <v>6821.9592610729978</v>
      </c>
      <c r="D42" s="86">
        <v>14.072757841029523</v>
      </c>
      <c r="E42" s="54" t="s">
        <v>279</v>
      </c>
      <c r="F42" s="126" t="s">
        <v>279</v>
      </c>
      <c r="G42" s="57" t="s">
        <v>279</v>
      </c>
      <c r="H42" s="86" t="s">
        <v>279</v>
      </c>
      <c r="I42" s="61" t="s">
        <v>279</v>
      </c>
      <c r="J42" s="86" t="s">
        <v>279</v>
      </c>
      <c r="K42" s="57" t="s">
        <v>279</v>
      </c>
      <c r="L42" s="62" t="s">
        <v>279</v>
      </c>
      <c r="M42" s="57" t="s">
        <v>279</v>
      </c>
      <c r="N42" s="86" t="s">
        <v>279</v>
      </c>
      <c r="O42" s="61" t="s">
        <v>279</v>
      </c>
      <c r="P42" s="86" t="s">
        <v>279</v>
      </c>
      <c r="Q42" s="57" t="s">
        <v>279</v>
      </c>
      <c r="R42" s="62" t="s">
        <v>279</v>
      </c>
      <c r="S42" s="57" t="s">
        <v>279</v>
      </c>
      <c r="T42" s="86" t="s">
        <v>279</v>
      </c>
      <c r="U42" s="57" t="s">
        <v>279</v>
      </c>
      <c r="V42" s="100" t="s">
        <v>279</v>
      </c>
    </row>
    <row r="43" spans="1:22" ht="25.5" customHeight="1" x14ac:dyDescent="0.2">
      <c r="A43" s="34"/>
      <c r="B43" s="45" t="str">
        <f>VLOOKUP("&lt;Zeilentitel_7.9&gt;",Uebersetzungen!$B$3:$E$83,Uebersetzungen!$B$2+1,FALSE)</f>
        <v>Lernende in dualer beruflicher Grundbildung (Lehrlinge)</v>
      </c>
      <c r="C43" s="132">
        <v>2736.194236532895</v>
      </c>
      <c r="D43" s="86">
        <v>22.595748930549551</v>
      </c>
      <c r="E43" s="54">
        <v>2736.194236532895</v>
      </c>
      <c r="F43" s="126">
        <v>22.595748930549551</v>
      </c>
      <c r="G43" s="57">
        <v>2519.1137181939457</v>
      </c>
      <c r="H43" s="86">
        <v>23.607861007153748</v>
      </c>
      <c r="I43" s="66">
        <v>669.35497832640431</v>
      </c>
      <c r="J43" s="88">
        <v>47.317320859206525</v>
      </c>
      <c r="K43" s="57" t="s">
        <v>279</v>
      </c>
      <c r="L43" s="62" t="s">
        <v>279</v>
      </c>
      <c r="M43" s="57" t="s">
        <v>279</v>
      </c>
      <c r="N43" s="86" t="s">
        <v>279</v>
      </c>
      <c r="O43" s="66">
        <v>346.70208750124021</v>
      </c>
      <c r="P43" s="88">
        <v>64.965443877995355</v>
      </c>
      <c r="Q43" s="57" t="s">
        <v>279</v>
      </c>
      <c r="R43" s="62" t="s">
        <v>279</v>
      </c>
      <c r="S43" s="93">
        <v>218.62661373397032</v>
      </c>
      <c r="T43" s="88">
        <v>79.039847533223565</v>
      </c>
      <c r="U43" s="57" t="s">
        <v>279</v>
      </c>
      <c r="V43" s="100" t="s">
        <v>279</v>
      </c>
    </row>
    <row r="44" spans="1:22" ht="38.25" x14ac:dyDescent="0.2">
      <c r="A44" s="34"/>
      <c r="B44" s="45" t="str">
        <f>VLOOKUP("&lt;Zeilentitel_7.10&gt;",Uebersetzungen!$B$3:$E$83,Uebersetzungen!$B$2+1,FALSE)</f>
        <v>Nicht zuteilbare Erwerbstätige (fehlende oder unklare Basisdaten oder unplausible Kombination)</v>
      </c>
      <c r="C44" s="133">
        <v>1390.5786687626278</v>
      </c>
      <c r="D44" s="88">
        <v>32.063765901593513</v>
      </c>
      <c r="E44" s="54" t="s">
        <v>279</v>
      </c>
      <c r="F44" s="126" t="s">
        <v>279</v>
      </c>
      <c r="G44" s="57" t="s">
        <v>279</v>
      </c>
      <c r="H44" s="86" t="s">
        <v>279</v>
      </c>
      <c r="I44" s="61" t="s">
        <v>279</v>
      </c>
      <c r="J44" s="86" t="s">
        <v>279</v>
      </c>
      <c r="K44" s="57" t="s">
        <v>279</v>
      </c>
      <c r="L44" s="62" t="s">
        <v>279</v>
      </c>
      <c r="M44" s="57" t="s">
        <v>279</v>
      </c>
      <c r="N44" s="86" t="s">
        <v>279</v>
      </c>
      <c r="O44" s="61" t="s">
        <v>279</v>
      </c>
      <c r="P44" s="86" t="s">
        <v>279</v>
      </c>
      <c r="Q44" s="57" t="s">
        <v>279</v>
      </c>
      <c r="R44" s="62" t="s">
        <v>279</v>
      </c>
      <c r="S44" s="57" t="s">
        <v>279</v>
      </c>
      <c r="T44" s="86" t="s">
        <v>279</v>
      </c>
      <c r="U44" s="57" t="s">
        <v>279</v>
      </c>
      <c r="V44" s="100" t="s">
        <v>279</v>
      </c>
    </row>
    <row r="45" spans="1:22" x14ac:dyDescent="0.2">
      <c r="A45" s="34"/>
      <c r="B45" s="45" t="str">
        <f>VLOOKUP("&lt;Zeilentitel_7.11&gt;",Uebersetzungen!$B$3:$E$83,Uebersetzungen!$B$2+1,FALSE)</f>
        <v>Erwerbslose und Nichterwerbspersonen</v>
      </c>
      <c r="C45" s="132">
        <v>67650.862463051279</v>
      </c>
      <c r="D45" s="86">
        <v>3.4588483113999517</v>
      </c>
      <c r="E45" s="54">
        <v>8523.5461214022816</v>
      </c>
      <c r="F45" s="126">
        <v>12.690126757675808</v>
      </c>
      <c r="G45" s="57">
        <v>6979.2092595942668</v>
      </c>
      <c r="H45" s="86">
        <v>14.102751408897696</v>
      </c>
      <c r="I45" s="61">
        <v>5040.6338428165218</v>
      </c>
      <c r="J45" s="86">
        <v>16.749809995780257</v>
      </c>
      <c r="K45" s="57" t="s">
        <v>279</v>
      </c>
      <c r="L45" s="62" t="s">
        <v>279</v>
      </c>
      <c r="M45" s="93">
        <v>251.50326755940665</v>
      </c>
      <c r="N45" s="88">
        <v>73.110514279778855</v>
      </c>
      <c r="O45" s="64">
        <v>1269.9045920557562</v>
      </c>
      <c r="P45" s="88">
        <v>33.114591547497803</v>
      </c>
      <c r="Q45" s="93">
        <v>940.95487711086537</v>
      </c>
      <c r="R45" s="65">
        <v>37.929835448718975</v>
      </c>
      <c r="S45" s="57">
        <v>2036.8904296248563</v>
      </c>
      <c r="T45" s="86">
        <v>26.761703482236147</v>
      </c>
      <c r="U45" s="93">
        <v>227.34804604555092</v>
      </c>
      <c r="V45" s="101">
        <v>79.013853266162272</v>
      </c>
    </row>
    <row r="46" spans="1:22" ht="12.75" customHeight="1" x14ac:dyDescent="0.2">
      <c r="A46" s="30" t="str">
        <f>VLOOKUP("&lt;Zeilentitel_8&gt;",Uebersetzungen!$B$3:$E$83,Uebersetzungen!$B$2+1,FALSE)</f>
        <v>Höchste abgeschlossene Ausbildung</v>
      </c>
      <c r="B46" s="43" t="str">
        <f>VLOOKUP("&lt;Zeilentitel_8.1&gt;",Uebersetzungen!$B$3:$E$83,Uebersetzungen!$B$2+1,FALSE)</f>
        <v>Ohne nachobligatorische Aubildung</v>
      </c>
      <c r="C46" s="146">
        <v>34830.749924816439</v>
      </c>
      <c r="D46" s="106">
        <v>5.6363231755720467</v>
      </c>
      <c r="E46" s="147">
        <v>6861.4774046824514</v>
      </c>
      <c r="F46" s="148">
        <v>13.963155782451267</v>
      </c>
      <c r="G46" s="105">
        <v>5630.7513729420589</v>
      </c>
      <c r="H46" s="106">
        <v>15.448148964236943</v>
      </c>
      <c r="I46" s="110">
        <v>3417.0872917813981</v>
      </c>
      <c r="J46" s="106">
        <v>20.168395646461335</v>
      </c>
      <c r="K46" s="105" t="s">
        <v>279</v>
      </c>
      <c r="L46" s="109" t="s">
        <v>279</v>
      </c>
      <c r="M46" s="122">
        <v>217.80879830008899</v>
      </c>
      <c r="N46" s="121">
        <v>78.968871676058725</v>
      </c>
      <c r="O46" s="124">
        <v>1146.5057591053494</v>
      </c>
      <c r="P46" s="121">
        <v>34.67677408713319</v>
      </c>
      <c r="Q46" s="122">
        <v>942.89881083158753</v>
      </c>
      <c r="R46" s="123">
        <v>37.87370758333617</v>
      </c>
      <c r="S46" s="122">
        <v>992.7671504765093</v>
      </c>
      <c r="T46" s="121">
        <v>37.165703405097219</v>
      </c>
      <c r="U46" s="122">
        <v>276.23971965930986</v>
      </c>
      <c r="V46" s="149">
        <v>73.292941640515679</v>
      </c>
    </row>
    <row r="47" spans="1:22" x14ac:dyDescent="0.2">
      <c r="A47" s="34"/>
      <c r="B47" s="45" t="str">
        <f>VLOOKUP("&lt;Zeilentitel_8.2&gt;",Uebersetzungen!$B$3:$E$83,Uebersetzungen!$B$2+1,FALSE)</f>
        <v>Sekundarstufe II</v>
      </c>
      <c r="C47" s="132">
        <v>80390.820949427201</v>
      </c>
      <c r="D47" s="86">
        <v>3.0161514322530469</v>
      </c>
      <c r="E47" s="54">
        <v>6006.5222366683402</v>
      </c>
      <c r="F47" s="126">
        <v>15.426556252969313</v>
      </c>
      <c r="G47" s="57">
        <v>5185.8776959809147</v>
      </c>
      <c r="H47" s="86">
        <v>16.69408840200883</v>
      </c>
      <c r="I47" s="61">
        <v>2665.7798201107439</v>
      </c>
      <c r="J47" s="86">
        <v>23.607458573422356</v>
      </c>
      <c r="K47" s="57" t="s">
        <v>279</v>
      </c>
      <c r="L47" s="62" t="s">
        <v>279</v>
      </c>
      <c r="M47" s="93">
        <v>181.31087159044242</v>
      </c>
      <c r="N47" s="88">
        <v>86.73262665327745</v>
      </c>
      <c r="O47" s="66">
        <v>803.99048712363481</v>
      </c>
      <c r="P47" s="88">
        <v>42.34777200703747</v>
      </c>
      <c r="Q47" s="93">
        <v>378.23265738300915</v>
      </c>
      <c r="R47" s="65">
        <v>61.251512655183909</v>
      </c>
      <c r="S47" s="87">
        <v>1368.4970928838839</v>
      </c>
      <c r="T47" s="88">
        <v>33.161339760824895</v>
      </c>
      <c r="U47" s="93">
        <v>225.46176493759492</v>
      </c>
      <c r="V47" s="101">
        <v>87.014253890680394</v>
      </c>
    </row>
    <row r="48" spans="1:22" ht="13.5" thickBot="1" x14ac:dyDescent="0.25">
      <c r="A48" s="35"/>
      <c r="B48" s="46" t="str">
        <f>VLOOKUP("&lt;Zeilentitel_8.3&gt;",Uebersetzungen!$B$3:$E$83,Uebersetzungen!$B$2+1,FALSE)</f>
        <v>Tertiärstufe</v>
      </c>
      <c r="C48" s="134">
        <v>59389.429125753471</v>
      </c>
      <c r="D48" s="89">
        <v>3.7837661322369573</v>
      </c>
      <c r="E48" s="55">
        <v>2749.6964135386715</v>
      </c>
      <c r="F48" s="135">
        <v>22.61757333575607</v>
      </c>
      <c r="G48" s="58">
        <v>2227.0789595254146</v>
      </c>
      <c r="H48" s="89">
        <v>25.1945808695524</v>
      </c>
      <c r="I48" s="136">
        <v>1870.4509608258741</v>
      </c>
      <c r="J48" s="140">
        <v>27.659795972117941</v>
      </c>
      <c r="K48" s="58" t="s">
        <v>279</v>
      </c>
      <c r="L48" s="81" t="s">
        <v>279</v>
      </c>
      <c r="M48" s="58" t="s">
        <v>279</v>
      </c>
      <c r="N48" s="89" t="s">
        <v>279</v>
      </c>
      <c r="O48" s="137">
        <v>629.59080901659684</v>
      </c>
      <c r="P48" s="140">
        <v>48.623794941532445</v>
      </c>
      <c r="Q48" s="98">
        <v>262.54416803816702</v>
      </c>
      <c r="R48" s="84">
        <v>73.527064909380826</v>
      </c>
      <c r="S48" s="103">
        <v>1156.7841515571365</v>
      </c>
      <c r="T48" s="140">
        <v>35.960334799836424</v>
      </c>
      <c r="U48" s="58" t="s">
        <v>279</v>
      </c>
      <c r="V48" s="145" t="s">
        <v>279</v>
      </c>
    </row>
    <row r="49" spans="1:22" x14ac:dyDescent="0.2">
      <c r="A49" s="25"/>
      <c r="B49" s="18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6"/>
      <c r="T49" s="27"/>
      <c r="U49" s="28"/>
      <c r="V49" s="27"/>
    </row>
    <row r="50" spans="1:22" x14ac:dyDescent="0.2">
      <c r="A50" s="13" t="str">
        <f>VLOOKUP("&lt;Legende_1&gt;",Uebersetzungen!$B$3:$E$72,Uebersetzungen!$B$2+1,FALSE)</f>
        <v>Die Befragten konnten mehrere Hauptsprachen nennen.</v>
      </c>
    </row>
    <row r="51" spans="1:22" x14ac:dyDescent="0.2">
      <c r="A51" s="13" t="str">
        <f>VLOOKUP("&lt;Legende_2&gt;",Uebersetzungen!$B$3:$E$72,Uebersetzungen!$B$2+1,FALSE)</f>
        <v>(): Extrapolation aufgrund von 49 oder weniger Beobachtungen. Die Resultate sind mit grosser Vorsicht zu interpretieren.</v>
      </c>
    </row>
    <row r="52" spans="1:22" x14ac:dyDescent="0.2">
      <c r="A52" s="13" t="str">
        <f>VLOOKUP("&lt;Legende_3&gt;",Uebersetzungen!$B$3:$E$72,Uebersetzungen!$B$2+1,FALSE)</f>
        <v>X: Extrapolation aufgrund von 4 oder weniger Beobachtungen. Die Resultate werden aus Gründen des Datenschutzes nicht publiziert.</v>
      </c>
    </row>
    <row r="53" spans="1:22" x14ac:dyDescent="0.2">
      <c r="A53" s="13" t="str">
        <f>VLOOKUP("&lt;Legende_4&gt;",Uebersetzungen!$B$3:$E$72,Uebersetzungen!$B$2+1,FALSE)</f>
        <v>Die Grundgesamtheit der Strukturerhebung enthält alle Personen der ständigen Wohnbevölkerung ab vollendetem 15. Altersjahr, die in Privathaushalten leben.</v>
      </c>
    </row>
    <row r="54" spans="1:22" x14ac:dyDescent="0.2">
      <c r="A54" s="41" t="str">
        <f>VLOOKUP("&lt;Legende_5&gt;",Uebersetzungen!$B$3:$E$72,Uebersetzungen!$B$2+1,FALSE)</f>
        <v>Aus der Grundgesamtheit ausgeschlossen wurden neben den Personen, die in Kollektivhaushalten leben, auch Diplomaten, internationale Funktionäre und deren Angehörige.</v>
      </c>
    </row>
    <row r="55" spans="1:22" x14ac:dyDescent="0.2">
      <c r="A55" s="7"/>
    </row>
    <row r="56" spans="1:22" x14ac:dyDescent="0.2">
      <c r="A56" s="7" t="str">
        <f>VLOOKUP("&lt;Quelle_1&gt;",Uebersetzungen!$B$3:$E$83,Uebersetzungen!$B$2+1,FALSE)</f>
        <v>Quelle: BFS (Strukturerhebung)</v>
      </c>
    </row>
    <row r="57" spans="1:22" x14ac:dyDescent="0.2">
      <c r="A57" s="6" t="str">
        <f>VLOOKUP("&lt;Aktualisierung&gt;",Uebersetzungen!$B$3:$E$83,Uebersetzungen!$B$2+1,FALSE)</f>
        <v>Letztmals aktualisiert am: 17.02.2025</v>
      </c>
    </row>
    <row r="58" spans="1:22" x14ac:dyDescent="0.2">
      <c r="B58" s="9"/>
      <c r="T58" s="9"/>
    </row>
    <row r="60" spans="1:22" x14ac:dyDescent="0.2">
      <c r="B60" s="10"/>
      <c r="T60" s="10"/>
    </row>
    <row r="61" spans="1:22" x14ac:dyDescent="0.2">
      <c r="T61" s="9"/>
      <c r="U61" s="9"/>
      <c r="V61" s="9"/>
    </row>
  </sheetData>
  <sheetProtection sheet="1" objects="1" scenarios="1"/>
  <mergeCells count="13">
    <mergeCell ref="Q13:R13"/>
    <mergeCell ref="S13:T13"/>
    <mergeCell ref="U13:V13"/>
    <mergeCell ref="A7:D7"/>
    <mergeCell ref="C12:V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8740157499999996" bottom="0.78740157499999996" header="0.3" footer="0.3"/>
  <pageSetup paperSize="9" scale="28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showGridLines="0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20" width="9.5" style="6" customWidth="1"/>
    <col min="21" max="16384" width="11" style="6"/>
  </cols>
  <sheetData>
    <row r="1" spans="1:21" s="1" customFormat="1" x14ac:dyDescent="0.2"/>
    <row r="2" spans="1:21" s="1" customFormat="1" ht="15.75" x14ac:dyDescent="0.25">
      <c r="B2" s="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1" s="1" customFormat="1" ht="15.75" x14ac:dyDescent="0.25"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21" s="1" customFormat="1" ht="15.75" x14ac:dyDescent="0.25"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1" s="1" customFormat="1" x14ac:dyDescent="0.2"/>
    <row r="6" spans="1:21" s="1" customFormat="1" x14ac:dyDescent="0.2"/>
    <row r="7" spans="1:21" s="1" customFormat="1" ht="15.75" customHeight="1" x14ac:dyDescent="0.2">
      <c r="A7" s="152" t="str">
        <f>VLOOKUP("&lt;Fachbereich&gt;",Uebersetzungen!$B$3:$E$63,Uebersetzungen!$B$2+1,FALSE)</f>
        <v>Daten &amp; Statistik</v>
      </c>
      <c r="B7" s="152"/>
      <c r="C7" s="152"/>
      <c r="D7" s="152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12"/>
      <c r="R7" s="12"/>
      <c r="S7" s="12"/>
      <c r="T7" s="12"/>
      <c r="U7" s="12"/>
    </row>
    <row r="8" spans="1:21" s="1" customFormat="1" x14ac:dyDescent="0.2"/>
    <row r="9" spans="1:21" ht="18" x14ac:dyDescent="0.2">
      <c r="A9" s="3" t="str">
        <f>VLOOKUP("&lt;T3Titel&gt;",Uebersetzungen!$B$3:$E$86,Uebersetzungen!$B$2+1,FALSE)</f>
        <v>Zu Hause gesprochene Sprachen im Kanton Graubünden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1" x14ac:dyDescent="0.2">
      <c r="A10" s="7" t="str">
        <f>VLOOKUP("&lt;T3UTitel&gt;",Uebersetzungen!$B$3:$E$86,Uebersetzungen!$B$2+1,FALSE)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1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1" ht="18" x14ac:dyDescent="0.25">
      <c r="A12" s="8"/>
      <c r="B12" s="8"/>
      <c r="C12" s="158">
        <v>2023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60"/>
    </row>
    <row r="13" spans="1:21" ht="37.5" customHeight="1" x14ac:dyDescent="0.2">
      <c r="B13" s="153"/>
      <c r="C13" s="155" t="str">
        <f>VLOOKUP("&lt;SpaltenTitel_1&gt;",Uebersetzungen!$B$3:$E$63,Uebersetzungen!$B$2+1,FALSE)</f>
        <v>Total Bevölkerung</v>
      </c>
      <c r="D13" s="156"/>
      <c r="E13" s="156" t="str">
        <f>VLOOKUP("&lt;SpaltenTitel_3&gt;",Uebersetzungen!$B$3:$E$63,Uebersetzungen!$B$2+1,FALSE)</f>
        <v>Schweizerdeutsch</v>
      </c>
      <c r="F13" s="156"/>
      <c r="G13" s="156" t="str">
        <f>VLOOKUP("&lt;SpaltenTitel_4&gt;",Uebersetzungen!$B$3:$E$63,Uebersetzungen!$B$2+1,FALSE)</f>
        <v>Deutsch</v>
      </c>
      <c r="H13" s="156"/>
      <c r="I13" s="156" t="str">
        <f>VLOOKUP("&lt;SpaltenTitel_5&gt;",Uebersetzungen!$B$3:$E$63,Uebersetzungen!$B$2+1,FALSE)</f>
        <v>Französisch</v>
      </c>
      <c r="J13" s="156"/>
      <c r="K13" s="161" t="str">
        <f>VLOOKUP("&lt;SpaltenTitel_6&gt;",Uebersetzungen!$B$3:$E$63,Uebersetzungen!$B$2+1,FALSE)</f>
        <v>Tessiner/Bündner-italienischer Dialekt</v>
      </c>
      <c r="L13" s="162"/>
      <c r="M13" s="161" t="str">
        <f>VLOOKUP("&lt;SpaltenTitel_7&gt;",Uebersetzungen!$B$3:$E$63,Uebersetzungen!$B$2+1,FALSE)</f>
        <v>Italienisch</v>
      </c>
      <c r="N13" s="162"/>
      <c r="O13" s="161" t="str">
        <f>VLOOKUP("&lt;SpaltenTitel_8&gt;",Uebersetzungen!$B$3:$E$63,Uebersetzungen!$B$2+1,FALSE)</f>
        <v>Rätoromanisch</v>
      </c>
      <c r="P13" s="162"/>
      <c r="Q13" s="156" t="str">
        <f>VLOOKUP("&lt;SpaltenTitel_9&gt;",Uebersetzungen!$B$3:$E$63,Uebersetzungen!$B$2+1,FALSE)</f>
        <v>Englisch</v>
      </c>
      <c r="R13" s="156"/>
      <c r="S13" s="156" t="str">
        <f>VLOOKUP("&lt;SpaltenTitel_10&gt;",Uebersetzungen!$B$3:$E$63,Uebersetzungen!$B$2+1,FALSE)</f>
        <v>Andere Sprache/n</v>
      </c>
      <c r="T13" s="157"/>
    </row>
    <row r="14" spans="1:21" ht="39" thickBot="1" x14ac:dyDescent="0.25">
      <c r="B14" s="154"/>
      <c r="C14" s="47" t="str">
        <f>VLOOKUP("&lt;SpaltenTitel_1.1&gt;",Uebersetzungen!$B$3:$E$63,Uebersetzungen!$B$2+1,FALSE)</f>
        <v>Anzahl Personen</v>
      </c>
      <c r="D14" s="48" t="str">
        <f>VLOOKUP("&lt;SpaltenTitel_1.2&gt;",Uebersetzungen!$B$3:$E$63,Uebersetzungen!$B$2+1,FALSE)</f>
        <v>Vertrauens- intervall: 
± (in %)</v>
      </c>
      <c r="E14" s="49" t="str">
        <f>VLOOKUP("&lt;SpaltenTitel_1.1&gt;",Uebersetzungen!$B$3:$E$63,Uebersetzungen!$B$2+1,FALSE)</f>
        <v>Anzahl Personen</v>
      </c>
      <c r="F14" s="48" t="str">
        <f>VLOOKUP("&lt;SpaltenTitel_1.2&gt;",Uebersetzungen!$B$3:$E$63,Uebersetzungen!$B$2+1,FALSE)</f>
        <v>Vertrauens- intervall: 
± (in %)</v>
      </c>
      <c r="G14" s="49" t="str">
        <f>VLOOKUP("&lt;SpaltenTitel_1.1&gt;",Uebersetzungen!$B$3:$E$63,Uebersetzungen!$B$2+1,FALSE)</f>
        <v>Anzahl Personen</v>
      </c>
      <c r="H14" s="48" t="str">
        <f>VLOOKUP("&lt;SpaltenTitel_1.2&gt;",Uebersetzungen!$B$3:$E$63,Uebersetzungen!$B$2+1,FALSE)</f>
        <v>Vertrauens- intervall: 
± (in %)</v>
      </c>
      <c r="I14" s="49" t="str">
        <f>VLOOKUP("&lt;SpaltenTitel_1.1&gt;",Uebersetzungen!$B$3:$E$63,Uebersetzungen!$B$2+1,FALSE)</f>
        <v>Anzahl Personen</v>
      </c>
      <c r="J14" s="48" t="str">
        <f>VLOOKUP("&lt;SpaltenTitel_1.2&gt;",Uebersetzungen!$B$3:$E$63,Uebersetzungen!$B$2+1,FALSE)</f>
        <v>Vertrauens- intervall: 
± (in %)</v>
      </c>
      <c r="K14" s="49" t="str">
        <f>VLOOKUP("&lt;SpaltenTitel_1.1&gt;",Uebersetzungen!$B$3:$E$63,Uebersetzungen!$B$2+1,FALSE)</f>
        <v>Anzahl Personen</v>
      </c>
      <c r="L14" s="48" t="str">
        <f>VLOOKUP("&lt;SpaltenTitel_1.2&gt;",Uebersetzungen!$B$3:$E$63,Uebersetzungen!$B$2+1,FALSE)</f>
        <v>Vertrauens- intervall: 
± (in %)</v>
      </c>
      <c r="M14" s="49" t="str">
        <f>VLOOKUP("&lt;SpaltenTitel_1.1&gt;",Uebersetzungen!$B$3:$E$63,Uebersetzungen!$B$2+1,FALSE)</f>
        <v>Anzahl Personen</v>
      </c>
      <c r="N14" s="48" t="str">
        <f>VLOOKUP("&lt;SpaltenTitel_1.2&gt;",Uebersetzungen!$B$3:$E$63,Uebersetzungen!$B$2+1,FALSE)</f>
        <v>Vertrauens- intervall: 
± (in %)</v>
      </c>
      <c r="O14" s="49" t="str">
        <f>VLOOKUP("&lt;SpaltenTitel_1.1&gt;",Uebersetzungen!$B$3:$E$63,Uebersetzungen!$B$2+1,FALSE)</f>
        <v>Anzahl Personen</v>
      </c>
      <c r="P14" s="48" t="str">
        <f>VLOOKUP("&lt;SpaltenTitel_1.2&gt;",Uebersetzungen!$B$3:$E$63,Uebersetzungen!$B$2+1,FALSE)</f>
        <v>Vertrauens- intervall: 
± (in %)</v>
      </c>
      <c r="Q14" s="50" t="str">
        <f>VLOOKUP("&lt;SpaltenTitel_1.1&gt;",Uebersetzungen!$B$3:$E$63,Uebersetzungen!$B$2+1,FALSE)</f>
        <v>Anzahl Personen</v>
      </c>
      <c r="R14" s="48" t="str">
        <f>VLOOKUP("&lt;SpaltenTitel_1.2&gt;",Uebersetzungen!$B$3:$E$63,Uebersetzungen!$B$2+1,FALSE)</f>
        <v>Vertrauens- intervall: 
± (in %)</v>
      </c>
      <c r="S14" s="51" t="str">
        <f>VLOOKUP("&lt;SpaltenTitel_1.1&gt;",Uebersetzungen!$B$3:$E$63,Uebersetzungen!$B$2+1,FALSE)</f>
        <v>Anzahl Personen</v>
      </c>
      <c r="T14" s="52" t="str">
        <f>VLOOKUP("&lt;SpaltenTitel_1.2&gt;",Uebersetzungen!$B$3:$E$63,Uebersetzungen!$B$2+1,FALSE)</f>
        <v>Vertrauens- intervall: 
± (in %)</v>
      </c>
    </row>
    <row r="15" spans="1:21" ht="14.25" customHeight="1" x14ac:dyDescent="0.2">
      <c r="A15" s="29" t="str">
        <f>VLOOKUP("&lt;Zeilentitel_1&gt;",Uebersetzungen!$B$3:$E$83,Uebersetzungen!$B$2+1,FALSE)</f>
        <v>Total</v>
      </c>
      <c r="B15" s="42"/>
      <c r="C15" s="129">
        <v>174610.99999999691</v>
      </c>
      <c r="D15" s="85">
        <v>0.33944767742202053</v>
      </c>
      <c r="E15" s="56">
        <v>119830.47341608688</v>
      </c>
      <c r="F15" s="78">
        <v>1.8436169321631619</v>
      </c>
      <c r="G15" s="56">
        <v>18916.001280389959</v>
      </c>
      <c r="H15" s="85">
        <v>8.0964738393403408</v>
      </c>
      <c r="I15" s="80">
        <v>2033.342051302111</v>
      </c>
      <c r="J15" s="85">
        <v>25.373677365539226</v>
      </c>
      <c r="K15" s="56">
        <v>8310.0478879063812</v>
      </c>
      <c r="L15" s="78">
        <v>12.152342176148737</v>
      </c>
      <c r="M15" s="56">
        <v>18216.317158570066</v>
      </c>
      <c r="N15" s="85">
        <v>8.146006326834657</v>
      </c>
      <c r="O15" s="80">
        <v>25441.01278031589</v>
      </c>
      <c r="P15" s="85">
        <v>6.6029630310063512</v>
      </c>
      <c r="Q15" s="56">
        <v>6415.8342620619687</v>
      </c>
      <c r="R15" s="78">
        <v>14.671241519616455</v>
      </c>
      <c r="S15" s="56">
        <v>25161.152695955854</v>
      </c>
      <c r="T15" s="99">
        <v>7.1281492301518616</v>
      </c>
    </row>
    <row r="16" spans="1:21" x14ac:dyDescent="0.2">
      <c r="A16" s="30" t="str">
        <f>VLOOKUP("&lt;Zeilentitel_2&gt;",Uebersetzungen!$B$3:$E$83,Uebersetzungen!$B$2+1,FALSE)</f>
        <v>Geschlecht</v>
      </c>
      <c r="B16" s="43" t="str">
        <f>VLOOKUP("&lt;Zeilentitel_2.1&gt;",Uebersetzungen!$B$3:$E$83,Uebersetzungen!$B$2+1,FALSE)</f>
        <v>Männer</v>
      </c>
      <c r="C16" s="146">
        <v>87537.999999998283</v>
      </c>
      <c r="D16" s="106">
        <v>2.8416627271316957</v>
      </c>
      <c r="E16" s="105">
        <v>59313.383440477657</v>
      </c>
      <c r="F16" s="109">
        <v>3.8834127786544173</v>
      </c>
      <c r="G16" s="105">
        <v>8899.0949303513516</v>
      </c>
      <c r="H16" s="106">
        <v>12.3762947184957</v>
      </c>
      <c r="I16" s="120">
        <v>925.43992416787148</v>
      </c>
      <c r="J16" s="121">
        <v>38.098880439901237</v>
      </c>
      <c r="K16" s="105">
        <v>3907.438989357805</v>
      </c>
      <c r="L16" s="109">
        <v>18.081743623354811</v>
      </c>
      <c r="M16" s="105">
        <v>9720.3732519070636</v>
      </c>
      <c r="N16" s="106">
        <v>11.627928426410687</v>
      </c>
      <c r="O16" s="110">
        <v>13132.422629425877</v>
      </c>
      <c r="P16" s="106">
        <v>9.6827455215247777</v>
      </c>
      <c r="Q16" s="105">
        <v>3702.1198582808706</v>
      </c>
      <c r="R16" s="109">
        <v>19.646877622165313</v>
      </c>
      <c r="S16" s="105">
        <v>13287.709304607157</v>
      </c>
      <c r="T16" s="111">
        <v>10.373394957134215</v>
      </c>
    </row>
    <row r="17" spans="1:20" x14ac:dyDescent="0.2">
      <c r="A17" s="31"/>
      <c r="B17" s="44" t="str">
        <f>VLOOKUP("&lt;Zeilentitel_2.2&gt;",Uebersetzungen!$B$3:$E$83,Uebersetzungen!$B$2+1,FALSE)</f>
        <v>Frauen</v>
      </c>
      <c r="C17" s="150">
        <v>87072.999999998618</v>
      </c>
      <c r="D17" s="113">
        <v>2.7106627575431776</v>
      </c>
      <c r="E17" s="112">
        <v>60517.089975609226</v>
      </c>
      <c r="F17" s="73">
        <v>3.675314294933973</v>
      </c>
      <c r="G17" s="112">
        <v>10016.906350038606</v>
      </c>
      <c r="H17" s="113">
        <v>11.23248007064773</v>
      </c>
      <c r="I17" s="77">
        <v>1107.9021271342397</v>
      </c>
      <c r="J17" s="115">
        <v>34.181010894685798</v>
      </c>
      <c r="K17" s="112">
        <v>4402.6088985485758</v>
      </c>
      <c r="L17" s="73">
        <v>16.789558423037903</v>
      </c>
      <c r="M17" s="112">
        <v>8495.9439066630021</v>
      </c>
      <c r="N17" s="113">
        <v>12.049683256151337</v>
      </c>
      <c r="O17" s="72">
        <v>12308.590150890015</v>
      </c>
      <c r="P17" s="113">
        <v>9.7727207135227783</v>
      </c>
      <c r="Q17" s="112">
        <v>2713.7144037810981</v>
      </c>
      <c r="R17" s="73">
        <v>22.475664308444081</v>
      </c>
      <c r="S17" s="112">
        <v>11873.443391348696</v>
      </c>
      <c r="T17" s="117">
        <v>10.495302928015299</v>
      </c>
    </row>
    <row r="18" spans="1:20" x14ac:dyDescent="0.2">
      <c r="A18" s="32" t="str">
        <f>VLOOKUP("&lt;Zeilentitel_3&gt;",Uebersetzungen!$B$3:$E$83,Uebersetzungen!$B$2+1,FALSE)</f>
        <v>Alter</v>
      </c>
      <c r="B18" s="25" t="str">
        <f>VLOOKUP("&lt;Zeilentitel_3.1&gt;",Uebersetzungen!$B$3:$E$83,Uebersetzungen!$B$2+1,FALSE)</f>
        <v>15-24</v>
      </c>
      <c r="C18" s="132">
        <v>18796.999999999982</v>
      </c>
      <c r="D18" s="86">
        <v>8.3769939210268003</v>
      </c>
      <c r="E18" s="57">
        <v>12981.628864596394</v>
      </c>
      <c r="F18" s="62">
        <v>10.169274589091936</v>
      </c>
      <c r="G18" s="57">
        <v>2408.5744170562048</v>
      </c>
      <c r="H18" s="86">
        <v>25.313876949818955</v>
      </c>
      <c r="I18" s="66">
        <v>333.31194495564887</v>
      </c>
      <c r="J18" s="88">
        <v>64.526145041970167</v>
      </c>
      <c r="K18" s="93">
        <v>800.68693121249703</v>
      </c>
      <c r="L18" s="65">
        <v>41.21382632438894</v>
      </c>
      <c r="M18" s="57">
        <v>2141.4516894971266</v>
      </c>
      <c r="N18" s="86">
        <v>25.697334234840163</v>
      </c>
      <c r="O18" s="61">
        <v>2532.9685220374586</v>
      </c>
      <c r="P18" s="86">
        <v>23.548041033375398</v>
      </c>
      <c r="Q18" s="87">
        <v>1240.5065113677026</v>
      </c>
      <c r="R18" s="65">
        <v>35.065019469511988</v>
      </c>
      <c r="S18" s="57">
        <v>4808.53774793721</v>
      </c>
      <c r="T18" s="100">
        <v>17.979615284541978</v>
      </c>
    </row>
    <row r="19" spans="1:20" x14ac:dyDescent="0.2">
      <c r="A19" s="33"/>
      <c r="B19" s="45" t="str">
        <f>VLOOKUP("&lt;Zeilentitel_3.2&gt;",Uebersetzungen!$B$3:$E$83,Uebersetzungen!$B$2+1,FALSE)</f>
        <v>25-44</v>
      </c>
      <c r="C19" s="132">
        <v>51462.999999999032</v>
      </c>
      <c r="D19" s="86">
        <v>4.4448967572291966</v>
      </c>
      <c r="E19" s="57">
        <v>34182.81486598128</v>
      </c>
      <c r="F19" s="62">
        <v>5.7105391920627007</v>
      </c>
      <c r="G19" s="57">
        <v>6861.5975712222435</v>
      </c>
      <c r="H19" s="86">
        <v>14.223574798030421</v>
      </c>
      <c r="I19" s="66">
        <v>588.39388846649422</v>
      </c>
      <c r="J19" s="88">
        <v>48.765404131433208</v>
      </c>
      <c r="K19" s="57">
        <v>1909.0966721943287</v>
      </c>
      <c r="L19" s="62">
        <v>26.388450207876534</v>
      </c>
      <c r="M19" s="57">
        <v>5596.1356678803759</v>
      </c>
      <c r="N19" s="86">
        <v>15.78054871182345</v>
      </c>
      <c r="O19" s="61">
        <v>7306.4076813293341</v>
      </c>
      <c r="P19" s="86">
        <v>13.378512861606861</v>
      </c>
      <c r="Q19" s="57">
        <v>2985.9727654686462</v>
      </c>
      <c r="R19" s="62">
        <v>22.104008703839124</v>
      </c>
      <c r="S19" s="57">
        <v>9950.6087077598186</v>
      </c>
      <c r="T19" s="100">
        <v>12.017006284822035</v>
      </c>
    </row>
    <row r="20" spans="1:20" x14ac:dyDescent="0.2">
      <c r="A20" s="34"/>
      <c r="B20" s="45" t="str">
        <f>VLOOKUP("&lt;Zeilentitel_3.3&gt;",Uebersetzungen!$B$3:$E$83,Uebersetzungen!$B$2+1,FALSE)</f>
        <v>45-64</v>
      </c>
      <c r="C20" s="132">
        <v>59159.999999999352</v>
      </c>
      <c r="D20" s="86">
        <v>3.741696772099647</v>
      </c>
      <c r="E20" s="57">
        <v>38792.504868918746</v>
      </c>
      <c r="F20" s="62">
        <v>4.9652967726314721</v>
      </c>
      <c r="G20" s="57">
        <v>6856.2451896685934</v>
      </c>
      <c r="H20" s="86">
        <v>13.455165362617834</v>
      </c>
      <c r="I20" s="66">
        <v>473.98776451337204</v>
      </c>
      <c r="J20" s="88">
        <v>51.702125073147052</v>
      </c>
      <c r="K20" s="57">
        <v>2655.9633960984515</v>
      </c>
      <c r="L20" s="62">
        <v>21.534662618143571</v>
      </c>
      <c r="M20" s="57">
        <v>6489.9263957888224</v>
      </c>
      <c r="N20" s="86">
        <v>13.846440676435519</v>
      </c>
      <c r="O20" s="61">
        <v>7671.1677773408755</v>
      </c>
      <c r="P20" s="86">
        <v>12.497503711237517</v>
      </c>
      <c r="Q20" s="87">
        <v>1480.0738669759994</v>
      </c>
      <c r="R20" s="65">
        <v>29.661341065282155</v>
      </c>
      <c r="S20" s="57">
        <v>8997.6027909239838</v>
      </c>
      <c r="T20" s="100">
        <v>12.008170708236515</v>
      </c>
    </row>
    <row r="21" spans="1:20" x14ac:dyDescent="0.2">
      <c r="A21" s="34"/>
      <c r="B21" s="45" t="str">
        <f>VLOOKUP("&lt;Zeilentitel_3.4&gt;",Uebersetzungen!$B$3:$E$83,Uebersetzungen!$B$2+1,FALSE)</f>
        <v>65 und älter</v>
      </c>
      <c r="C21" s="132">
        <v>45190.99999999888</v>
      </c>
      <c r="D21" s="86">
        <v>4.5137334996911402</v>
      </c>
      <c r="E21" s="57">
        <v>33873.524816590252</v>
      </c>
      <c r="F21" s="62">
        <v>5.4252801830761666</v>
      </c>
      <c r="G21" s="57">
        <v>2789.5841024429196</v>
      </c>
      <c r="H21" s="86">
        <v>21.433035429829946</v>
      </c>
      <c r="I21" s="66">
        <v>637.64845336659607</v>
      </c>
      <c r="J21" s="88">
        <v>44.308508943279968</v>
      </c>
      <c r="K21" s="57">
        <v>2944.3008884011074</v>
      </c>
      <c r="L21" s="62">
        <v>20.567379582608019</v>
      </c>
      <c r="M21" s="57">
        <v>3988.8034054037303</v>
      </c>
      <c r="N21" s="86">
        <v>17.544998578724794</v>
      </c>
      <c r="O21" s="61">
        <v>7930.4687996082057</v>
      </c>
      <c r="P21" s="86">
        <v>12.225781804489001</v>
      </c>
      <c r="Q21" s="93">
        <v>709.28111824962025</v>
      </c>
      <c r="R21" s="65">
        <v>42.157329522838666</v>
      </c>
      <c r="S21" s="87">
        <v>1404.403449334844</v>
      </c>
      <c r="T21" s="101">
        <v>31.227493980808539</v>
      </c>
    </row>
    <row r="22" spans="1:20" x14ac:dyDescent="0.2">
      <c r="A22" s="30" t="str">
        <f>VLOOKUP("&lt;Zeilentitel_4&gt;",Uebersetzungen!$B$3:$E$83,Uebersetzungen!$B$2+1,FALSE)</f>
        <v>Staatsangehörigkeit</v>
      </c>
      <c r="B22" s="43" t="str">
        <f>VLOOKUP("&lt;Zeilentitel_4.1&gt;",Uebersetzungen!$B$3:$E$83,Uebersetzungen!$B$2+1,FALSE)</f>
        <v>Schweiz</v>
      </c>
      <c r="C22" s="146">
        <v>139295.99999999686</v>
      </c>
      <c r="D22" s="106">
        <v>1.3380059828042621</v>
      </c>
      <c r="E22" s="105">
        <v>111903.63031551984</v>
      </c>
      <c r="F22" s="109">
        <v>2.0146094341058478</v>
      </c>
      <c r="G22" s="105">
        <v>7642.5664510882498</v>
      </c>
      <c r="H22" s="106">
        <v>12.697570913093877</v>
      </c>
      <c r="I22" s="124">
        <v>1632.3402684462462</v>
      </c>
      <c r="J22" s="121">
        <v>28.180525989287116</v>
      </c>
      <c r="K22" s="105">
        <v>7965.6810135316164</v>
      </c>
      <c r="L22" s="109">
        <v>12.421962328150036</v>
      </c>
      <c r="M22" s="105">
        <v>10498.556883826659</v>
      </c>
      <c r="N22" s="106">
        <v>10.735913698515278</v>
      </c>
      <c r="O22" s="110">
        <v>24715.749098484364</v>
      </c>
      <c r="P22" s="106">
        <v>6.7017704375085669</v>
      </c>
      <c r="Q22" s="105">
        <v>3616.7454663030553</v>
      </c>
      <c r="R22" s="109">
        <v>19.214527942589271</v>
      </c>
      <c r="S22" s="105">
        <v>7782.943608635388</v>
      </c>
      <c r="T22" s="111">
        <v>12.828960240728835</v>
      </c>
    </row>
    <row r="23" spans="1:20" x14ac:dyDescent="0.2">
      <c r="A23" s="32"/>
      <c r="B23" s="45" t="str">
        <f>VLOOKUP("&lt;Zeilentitel_4.2&gt;",Uebersetzungen!$B$3:$E$83,Uebersetzungen!$B$2+1,FALSE)</f>
        <v>EU und EFTA</v>
      </c>
      <c r="C23" s="132">
        <v>27958.370138491267</v>
      </c>
      <c r="D23" s="86">
        <v>6.6025354696032874</v>
      </c>
      <c r="E23" s="57">
        <v>6136.0875059740993</v>
      </c>
      <c r="F23" s="62">
        <v>14.944390361631843</v>
      </c>
      <c r="G23" s="57">
        <v>9111.2069208874436</v>
      </c>
      <c r="H23" s="86">
        <v>12.124246767481232</v>
      </c>
      <c r="I23" s="66">
        <v>286.29182973581794</v>
      </c>
      <c r="J23" s="88">
        <v>69.070778023910904</v>
      </c>
      <c r="K23" s="93">
        <v>313.97148553013312</v>
      </c>
      <c r="L23" s="65">
        <v>64.806771710849077</v>
      </c>
      <c r="M23" s="57">
        <v>7396.2490020182004</v>
      </c>
      <c r="N23" s="86">
        <v>13.555294077206902</v>
      </c>
      <c r="O23" s="66">
        <v>725.26368183151681</v>
      </c>
      <c r="P23" s="88">
        <v>44.704451880652137</v>
      </c>
      <c r="Q23" s="87">
        <v>1705.3331581727148</v>
      </c>
      <c r="R23" s="65">
        <v>29.898653858384545</v>
      </c>
      <c r="S23" s="57">
        <v>11901.3995181837</v>
      </c>
      <c r="T23" s="100">
        <v>10.84219702411626</v>
      </c>
    </row>
    <row r="24" spans="1:20" x14ac:dyDescent="0.2">
      <c r="A24" s="32"/>
      <c r="B24" s="45" t="str">
        <f>VLOOKUP("&lt;Zeilentitel_4.3&gt;",Uebersetzungen!$B$3:$E$83,Uebersetzungen!$B$2+1,FALSE)</f>
        <v>Anderer europäischer Staat</v>
      </c>
      <c r="C24" s="132">
        <v>3796.6133258198633</v>
      </c>
      <c r="D24" s="86">
        <v>20.62741191471196</v>
      </c>
      <c r="E24" s="93">
        <v>870.97563088011441</v>
      </c>
      <c r="F24" s="65">
        <v>45.222950153139308</v>
      </c>
      <c r="G24" s="93">
        <v>688.54188822143465</v>
      </c>
      <c r="H24" s="88">
        <v>48.812514616174774</v>
      </c>
      <c r="I24" s="61" t="s">
        <v>279</v>
      </c>
      <c r="J24" s="86" t="s">
        <v>279</v>
      </c>
      <c r="K24" s="57" t="s">
        <v>279</v>
      </c>
      <c r="L24" s="62" t="s">
        <v>279</v>
      </c>
      <c r="M24" s="57" t="s">
        <v>279</v>
      </c>
      <c r="N24" s="86" t="s">
        <v>279</v>
      </c>
      <c r="O24" s="61" t="s">
        <v>279</v>
      </c>
      <c r="P24" s="86" t="s">
        <v>279</v>
      </c>
      <c r="Q24" s="93">
        <v>349.86798011372707</v>
      </c>
      <c r="R24" s="65">
        <v>64.911390159482551</v>
      </c>
      <c r="S24" s="57">
        <v>2990.4512353989171</v>
      </c>
      <c r="T24" s="100">
        <v>23.255435613720138</v>
      </c>
    </row>
    <row r="25" spans="1:20" x14ac:dyDescent="0.2">
      <c r="A25" s="32"/>
      <c r="B25" s="45" t="str">
        <f>VLOOKUP("&lt;Zeilentitel_4.4&gt;",Uebersetzungen!$B$3:$E$83,Uebersetzungen!$B$2+1,FALSE)</f>
        <v>Andere Staaten</v>
      </c>
      <c r="C25" s="132">
        <v>3560.0165356888847</v>
      </c>
      <c r="D25" s="86">
        <v>20.772325995727456</v>
      </c>
      <c r="E25" s="93">
        <v>919.77996371236225</v>
      </c>
      <c r="F25" s="65">
        <v>41.736761900273592</v>
      </c>
      <c r="G25" s="87">
        <v>1473.6860201928343</v>
      </c>
      <c r="H25" s="88">
        <v>32.5831663611472</v>
      </c>
      <c r="I25" s="61" t="s">
        <v>279</v>
      </c>
      <c r="J25" s="86" t="s">
        <v>279</v>
      </c>
      <c r="K25" s="57" t="s">
        <v>279</v>
      </c>
      <c r="L25" s="62" t="s">
        <v>279</v>
      </c>
      <c r="M25" s="57" t="s">
        <v>279</v>
      </c>
      <c r="N25" s="86" t="s">
        <v>279</v>
      </c>
      <c r="O25" s="61" t="s">
        <v>279</v>
      </c>
      <c r="P25" s="86" t="s">
        <v>279</v>
      </c>
      <c r="Q25" s="93">
        <v>743.88765747247066</v>
      </c>
      <c r="R25" s="65">
        <v>44.556010631565144</v>
      </c>
      <c r="S25" s="57">
        <v>2486.3583337378477</v>
      </c>
      <c r="T25" s="100">
        <v>24.863988703884207</v>
      </c>
    </row>
    <row r="26" spans="1:20" x14ac:dyDescent="0.2">
      <c r="A26" s="31"/>
      <c r="B26" s="45" t="str">
        <f>VLOOKUP("&lt;Zeilentitel_4.5&gt;",Uebersetzungen!$B$3:$E$83,Uebersetzungen!$B$2+1,FALSE)</f>
        <v>Staatsangehörigkeit unbekannt</v>
      </c>
      <c r="C26" s="150" t="s">
        <v>279</v>
      </c>
      <c r="D26" s="113" t="s">
        <v>279</v>
      </c>
      <c r="E26" s="112" t="s">
        <v>279</v>
      </c>
      <c r="F26" s="73" t="s">
        <v>279</v>
      </c>
      <c r="G26" s="112" t="s">
        <v>279</v>
      </c>
      <c r="H26" s="113" t="s">
        <v>279</v>
      </c>
      <c r="I26" s="72" t="s">
        <v>279</v>
      </c>
      <c r="J26" s="113" t="s">
        <v>279</v>
      </c>
      <c r="K26" s="112" t="s">
        <v>279</v>
      </c>
      <c r="L26" s="73" t="s">
        <v>279</v>
      </c>
      <c r="M26" s="112" t="s">
        <v>279</v>
      </c>
      <c r="N26" s="113" t="s">
        <v>279</v>
      </c>
      <c r="O26" s="72" t="s">
        <v>279</v>
      </c>
      <c r="P26" s="113" t="s">
        <v>279</v>
      </c>
      <c r="Q26" s="112" t="s">
        <v>279</v>
      </c>
      <c r="R26" s="73" t="s">
        <v>279</v>
      </c>
      <c r="S26" s="112" t="s">
        <v>279</v>
      </c>
      <c r="T26" s="117" t="s">
        <v>279</v>
      </c>
    </row>
    <row r="27" spans="1:20" x14ac:dyDescent="0.2">
      <c r="A27" s="30" t="str">
        <f>VLOOKUP("&lt;Zeilentitel_5&gt;",Uebersetzungen!$B$3:$E$83,Uebersetzungen!$B$2+1,FALSE)</f>
        <v>Migrationsstatus</v>
      </c>
      <c r="B27" s="43" t="str">
        <f>VLOOKUP("&lt;Zeilentitel_5.1&gt;",Uebersetzungen!$B$3:$E$83,Uebersetzungen!$B$2+1,FALSE)</f>
        <v>Schweizer/innen ohne Migrationshintergrund</v>
      </c>
      <c r="C27" s="132">
        <v>120977.06466215999</v>
      </c>
      <c r="D27" s="86">
        <v>1.7908926997663919</v>
      </c>
      <c r="E27" s="57">
        <v>100646.54879921582</v>
      </c>
      <c r="F27" s="62">
        <v>2.3162854294426718</v>
      </c>
      <c r="G27" s="57">
        <v>4116.049485172126</v>
      </c>
      <c r="H27" s="86">
        <v>17.700141469009044</v>
      </c>
      <c r="I27" s="64">
        <v>1291.3365603908487</v>
      </c>
      <c r="J27" s="88">
        <v>31.801567060628763</v>
      </c>
      <c r="K27" s="57">
        <v>7150.5686301883288</v>
      </c>
      <c r="L27" s="62">
        <v>13.152721137532074</v>
      </c>
      <c r="M27" s="57">
        <v>7073.9279451934681</v>
      </c>
      <c r="N27" s="86">
        <v>13.240767238615248</v>
      </c>
      <c r="O27" s="61">
        <v>24180.259831095118</v>
      </c>
      <c r="P27" s="86">
        <v>6.7904774181778009</v>
      </c>
      <c r="Q27" s="57">
        <v>2892.1562417256009</v>
      </c>
      <c r="R27" s="62">
        <v>21.649664423205508</v>
      </c>
      <c r="S27" s="57">
        <v>1881.3638905104422</v>
      </c>
      <c r="T27" s="100">
        <v>26.92336831212808</v>
      </c>
    </row>
    <row r="28" spans="1:20" x14ac:dyDescent="0.2">
      <c r="A28" s="32"/>
      <c r="B28" s="45" t="str">
        <f>VLOOKUP("&lt;Zeilentitel_5.2&gt;",Uebersetzungen!$B$3:$E$83,Uebersetzungen!$B$2+1,FALSE)</f>
        <v>Schweizer/innen mit Migrationshintergrund</v>
      </c>
      <c r="C28" s="132">
        <v>17229.463930897578</v>
      </c>
      <c r="D28" s="86">
        <v>8.1676596389216289</v>
      </c>
      <c r="E28" s="57">
        <v>10431.399334546593</v>
      </c>
      <c r="F28" s="62">
        <v>10.718259293622046</v>
      </c>
      <c r="G28" s="57">
        <v>3526.5169659161188</v>
      </c>
      <c r="H28" s="86">
        <v>18.652062789216714</v>
      </c>
      <c r="I28" s="66">
        <v>264.56779095359661</v>
      </c>
      <c r="J28" s="88">
        <v>68.371161363282482</v>
      </c>
      <c r="K28" s="93">
        <v>780.69588922983291</v>
      </c>
      <c r="L28" s="65">
        <v>40.284811923582538</v>
      </c>
      <c r="M28" s="57">
        <v>3358.8014808984954</v>
      </c>
      <c r="N28" s="86">
        <v>19.331009412782997</v>
      </c>
      <c r="O28" s="66">
        <v>435.59093440177907</v>
      </c>
      <c r="P28" s="88">
        <v>53.647311260026186</v>
      </c>
      <c r="Q28" s="93">
        <v>724.58922457745382</v>
      </c>
      <c r="R28" s="65">
        <v>42.318395180729794</v>
      </c>
      <c r="S28" s="57">
        <v>5847.6969289943881</v>
      </c>
      <c r="T28" s="100">
        <v>14.776357229004139</v>
      </c>
    </row>
    <row r="29" spans="1:20" x14ac:dyDescent="0.2">
      <c r="A29" s="32"/>
      <c r="B29" s="45" t="str">
        <f>VLOOKUP("&lt;Zeilentitel_5.3&gt;",Uebersetzungen!$B$3:$E$83,Uebersetzungen!$B$2+1,FALSE)</f>
        <v>Ausländer/innen der ersten Generation</v>
      </c>
      <c r="C29" s="132">
        <v>33029.912874495312</v>
      </c>
      <c r="D29" s="86">
        <v>6.0597300136581715</v>
      </c>
      <c r="E29" s="57">
        <v>6810.1155515091559</v>
      </c>
      <c r="F29" s="62">
        <v>14.392125919829207</v>
      </c>
      <c r="G29" s="57">
        <v>10838.05157160415</v>
      </c>
      <c r="H29" s="86">
        <v>11.19912464864599</v>
      </c>
      <c r="I29" s="66">
        <v>332.74333370555485</v>
      </c>
      <c r="J29" s="88">
        <v>65.050710713319944</v>
      </c>
      <c r="K29" s="93">
        <v>344.36687437477019</v>
      </c>
      <c r="L29" s="65">
        <v>61.487826774443782</v>
      </c>
      <c r="M29" s="57">
        <v>7289.4430127035703</v>
      </c>
      <c r="N29" s="86">
        <v>13.679751439487104</v>
      </c>
      <c r="O29" s="66">
        <v>577.21149817472963</v>
      </c>
      <c r="P29" s="88">
        <v>50.424580011935035</v>
      </c>
      <c r="Q29" s="57">
        <v>2626.6505206554948</v>
      </c>
      <c r="R29" s="62">
        <v>23.788627391592151</v>
      </c>
      <c r="S29" s="57">
        <v>16051.991526900123</v>
      </c>
      <c r="T29" s="100">
        <v>9.3240368176883912</v>
      </c>
    </row>
    <row r="30" spans="1:20" ht="25.5" x14ac:dyDescent="0.2">
      <c r="A30" s="32"/>
      <c r="B30" s="45" t="str">
        <f>VLOOKUP("&lt;Zeilentitel_5.4&gt;",Uebersetzungen!$B$3:$E$83,Uebersetzungen!$B$2+1,FALSE)</f>
        <v>Ausländer/innen der zweiten und höheren Generation</v>
      </c>
      <c r="C30" s="132">
        <v>2242.1687357672199</v>
      </c>
      <c r="D30" s="86">
        <v>25.999294713757738</v>
      </c>
      <c r="E30" s="87">
        <v>1116.7275490574204</v>
      </c>
      <c r="F30" s="65">
        <v>37.620899330516501</v>
      </c>
      <c r="G30" s="93">
        <v>435.38325769756625</v>
      </c>
      <c r="H30" s="88">
        <v>59.292456681329647</v>
      </c>
      <c r="I30" s="61" t="s">
        <v>279</v>
      </c>
      <c r="J30" s="86" t="s">
        <v>279</v>
      </c>
      <c r="K30" s="57" t="s">
        <v>279</v>
      </c>
      <c r="L30" s="62" t="s">
        <v>279</v>
      </c>
      <c r="M30" s="93">
        <v>428.31726203984147</v>
      </c>
      <c r="N30" s="88">
        <v>58.669269904284398</v>
      </c>
      <c r="O30" s="61" t="s">
        <v>279</v>
      </c>
      <c r="P30" s="86" t="s">
        <v>279</v>
      </c>
      <c r="Q30" s="57" t="s">
        <v>279</v>
      </c>
      <c r="R30" s="62" t="s">
        <v>279</v>
      </c>
      <c r="S30" s="87">
        <v>1283.2991706828966</v>
      </c>
      <c r="T30" s="101">
        <v>35.469012057740429</v>
      </c>
    </row>
    <row r="31" spans="1:20" x14ac:dyDescent="0.2">
      <c r="A31" s="31"/>
      <c r="B31" s="45" t="str">
        <f>VLOOKUP("&lt;Zeilentitel_5.5&gt;",Uebersetzungen!$B$3:$E$83,Uebersetzungen!$B$2+1,FALSE)</f>
        <v>Migrationshintergrund unbekannt</v>
      </c>
      <c r="C31" s="133">
        <v>1132.389796676722</v>
      </c>
      <c r="D31" s="88">
        <v>34.31028951458643</v>
      </c>
      <c r="E31" s="93">
        <v>825.68218175755464</v>
      </c>
      <c r="F31" s="65">
        <v>39.445461082590612</v>
      </c>
      <c r="G31" s="57" t="s">
        <v>279</v>
      </c>
      <c r="H31" s="86" t="s">
        <v>279</v>
      </c>
      <c r="I31" s="61" t="s">
        <v>279</v>
      </c>
      <c r="J31" s="86" t="s">
        <v>279</v>
      </c>
      <c r="K31" s="57" t="s">
        <v>279</v>
      </c>
      <c r="L31" s="62" t="s">
        <v>279</v>
      </c>
      <c r="M31" s="57" t="s">
        <v>279</v>
      </c>
      <c r="N31" s="86" t="s">
        <v>279</v>
      </c>
      <c r="O31" s="61" t="s">
        <v>279</v>
      </c>
      <c r="P31" s="86" t="s">
        <v>279</v>
      </c>
      <c r="Q31" s="57" t="s">
        <v>279</v>
      </c>
      <c r="R31" s="62" t="s">
        <v>279</v>
      </c>
      <c r="S31" s="57" t="s">
        <v>279</v>
      </c>
      <c r="T31" s="100" t="s">
        <v>279</v>
      </c>
    </row>
    <row r="32" spans="1:20" x14ac:dyDescent="0.2">
      <c r="A32" s="30" t="str">
        <f>VLOOKUP("&lt;Zeilentitel_6&gt;",Uebersetzungen!$B$3:$E$83,Uebersetzungen!$B$2+1,FALSE)</f>
        <v>Arbeitsmarktstatus</v>
      </c>
      <c r="B32" s="43" t="str">
        <f>VLOOKUP("&lt;T2Zeilentitel_6.1&gt;",Uebersetzungen!$B$3:$E$83,Uebersetzungen!$B$2+1,FALSE)</f>
        <v>Erwerbstätige</v>
      </c>
      <c r="C32" s="146">
        <v>106960.13753694596</v>
      </c>
      <c r="D32" s="106">
        <v>2.2331374480020294</v>
      </c>
      <c r="E32" s="105">
        <v>72882.936554483109</v>
      </c>
      <c r="F32" s="109">
        <v>3.2375301977890198</v>
      </c>
      <c r="G32" s="105">
        <v>13176.86496446646</v>
      </c>
      <c r="H32" s="106">
        <v>9.8653697232839512</v>
      </c>
      <c r="I32" s="120">
        <v>989.50862300964832</v>
      </c>
      <c r="J32" s="121">
        <v>36.685428828731901</v>
      </c>
      <c r="K32" s="105">
        <v>4328.1663667430412</v>
      </c>
      <c r="L32" s="109">
        <v>17.038967717670172</v>
      </c>
      <c r="M32" s="105">
        <v>11472.238958266476</v>
      </c>
      <c r="N32" s="106">
        <v>10.530557952123461</v>
      </c>
      <c r="O32" s="110">
        <v>14858.637731871271</v>
      </c>
      <c r="P32" s="106">
        <v>8.9885373638775299</v>
      </c>
      <c r="Q32" s="105">
        <v>4301.0321020371421</v>
      </c>
      <c r="R32" s="109">
        <v>18.075322774764114</v>
      </c>
      <c r="S32" s="105">
        <v>17664.178797140452</v>
      </c>
      <c r="T32" s="111">
        <v>8.6447879933396088</v>
      </c>
    </row>
    <row r="33" spans="1:20" x14ac:dyDescent="0.2">
      <c r="A33" s="32"/>
      <c r="B33" s="45" t="str">
        <f>VLOOKUP("&lt;T2Zeilentitel_6.2&gt;",Uebersetzungen!$B$3:$E$83,Uebersetzungen!$B$2+1,FALSE)</f>
        <v>Erwerbslose</v>
      </c>
      <c r="C33" s="132">
        <v>2294.1767169753762</v>
      </c>
      <c r="D33" s="86">
        <v>25.854640307180482</v>
      </c>
      <c r="E33" s="87">
        <v>1026.6280748001698</v>
      </c>
      <c r="F33" s="65">
        <v>38.193333232623345</v>
      </c>
      <c r="G33" s="93">
        <v>410.69411734976688</v>
      </c>
      <c r="H33" s="88">
        <v>61.154585128850741</v>
      </c>
      <c r="I33" s="61" t="s">
        <v>279</v>
      </c>
      <c r="J33" s="86" t="s">
        <v>279</v>
      </c>
      <c r="K33" s="57" t="s">
        <v>279</v>
      </c>
      <c r="L33" s="62" t="s">
        <v>279</v>
      </c>
      <c r="M33" s="93">
        <v>403.7757117782977</v>
      </c>
      <c r="N33" s="88">
        <v>63.470168759093696</v>
      </c>
      <c r="O33" s="66">
        <v>189.46504179477711</v>
      </c>
      <c r="P33" s="88">
        <v>87.117698871782153</v>
      </c>
      <c r="Q33" s="57" t="s">
        <v>279</v>
      </c>
      <c r="R33" s="62" t="s">
        <v>279</v>
      </c>
      <c r="S33" s="93">
        <v>946.4715019784087</v>
      </c>
      <c r="T33" s="101">
        <v>41.762739352621765</v>
      </c>
    </row>
    <row r="34" spans="1:20" x14ac:dyDescent="0.2">
      <c r="A34" s="31"/>
      <c r="B34" s="45" t="str">
        <f>VLOOKUP("&lt;T2Zeilentitel_6.3&gt;",Uebersetzungen!$B$3:$E$83,Uebersetzungen!$B$2+1,FALSE)</f>
        <v>Nichterwerbspersonen</v>
      </c>
      <c r="C34" s="150">
        <v>65356.685746075993</v>
      </c>
      <c r="D34" s="113">
        <v>3.5383544715876383</v>
      </c>
      <c r="E34" s="112">
        <v>45920.908786803629</v>
      </c>
      <c r="F34" s="73">
        <v>4.5421507064056019</v>
      </c>
      <c r="G34" s="112">
        <v>5328.4421985737254</v>
      </c>
      <c r="H34" s="113">
        <v>15.803432647986416</v>
      </c>
      <c r="I34" s="77">
        <v>1006.4495751414354</v>
      </c>
      <c r="J34" s="115">
        <v>35.934704852484053</v>
      </c>
      <c r="K34" s="112">
        <v>3899.3161375686418</v>
      </c>
      <c r="L34" s="73">
        <v>17.942404286177254</v>
      </c>
      <c r="M34" s="112">
        <v>6340.3024885252917</v>
      </c>
      <c r="N34" s="113">
        <v>14.075475021183319</v>
      </c>
      <c r="O34" s="72">
        <v>10392.910006649838</v>
      </c>
      <c r="P34" s="113">
        <v>10.754218233868521</v>
      </c>
      <c r="Q34" s="112">
        <v>1950.7891568758496</v>
      </c>
      <c r="R34" s="73">
        <v>26.662241758122214</v>
      </c>
      <c r="S34" s="112">
        <v>6550.5023968369987</v>
      </c>
      <c r="T34" s="117">
        <v>14.770489622077951</v>
      </c>
    </row>
    <row r="35" spans="1:20" x14ac:dyDescent="0.2">
      <c r="A35" s="32" t="str">
        <f>VLOOKUP("&lt;Zeilentitel_7&gt;",Uebersetzungen!$B$3:$E$83,Uebersetzungen!$B$2+1,FALSE)</f>
        <v>Sozioprofessionelle Kategorien</v>
      </c>
      <c r="B35" s="43" t="str">
        <f>VLOOKUP("&lt;Zeilentitel_7.1&gt;",Uebersetzungen!$B$3:$E$83,Uebersetzungen!$B$2+1,FALSE)</f>
        <v>Oberstes Management</v>
      </c>
      <c r="C35" s="132">
        <v>2692.4614986601086</v>
      </c>
      <c r="D35" s="86">
        <v>21.746551361625539</v>
      </c>
      <c r="E35" s="57">
        <v>1789.3632438396025</v>
      </c>
      <c r="F35" s="62">
        <v>26.597822358763104</v>
      </c>
      <c r="G35" s="93">
        <v>442.58854166048815</v>
      </c>
      <c r="H35" s="88">
        <v>56.980982639903175</v>
      </c>
      <c r="I35" s="61" t="s">
        <v>279</v>
      </c>
      <c r="J35" s="86" t="s">
        <v>279</v>
      </c>
      <c r="K35" s="57" t="s">
        <v>279</v>
      </c>
      <c r="L35" s="62" t="s">
        <v>279</v>
      </c>
      <c r="M35" s="93">
        <v>373.86635046982036</v>
      </c>
      <c r="N35" s="88">
        <v>58.633004164606774</v>
      </c>
      <c r="O35" s="66">
        <v>392.49161052787287</v>
      </c>
      <c r="P35" s="88">
        <v>55.762480539025781</v>
      </c>
      <c r="Q35" s="57" t="s">
        <v>279</v>
      </c>
      <c r="R35" s="62" t="s">
        <v>279</v>
      </c>
      <c r="S35" s="93">
        <v>447.75169579663498</v>
      </c>
      <c r="T35" s="101">
        <v>56.156868041605399</v>
      </c>
    </row>
    <row r="36" spans="1:20" x14ac:dyDescent="0.2">
      <c r="A36" s="33"/>
      <c r="B36" s="45" t="str">
        <f>VLOOKUP("&lt;Zeilentitel_7.2&gt;",Uebersetzungen!$B$3:$E$83,Uebersetzungen!$B$2+1,FALSE)</f>
        <v>Freie und gleichgestellte Berufe</v>
      </c>
      <c r="C36" s="132">
        <v>2805.8072395718664</v>
      </c>
      <c r="D36" s="86">
        <v>21.179835407272375</v>
      </c>
      <c r="E36" s="57">
        <v>1854.573275881846</v>
      </c>
      <c r="F36" s="62">
        <v>26.038598220546326</v>
      </c>
      <c r="G36" s="93">
        <v>412.4504452906578</v>
      </c>
      <c r="H36" s="88">
        <v>55.869790011465874</v>
      </c>
      <c r="I36" s="61" t="s">
        <v>279</v>
      </c>
      <c r="J36" s="86" t="s">
        <v>279</v>
      </c>
      <c r="K36" s="57" t="s">
        <v>279</v>
      </c>
      <c r="L36" s="62" t="s">
        <v>279</v>
      </c>
      <c r="M36" s="93">
        <v>511.03847379180422</v>
      </c>
      <c r="N36" s="88">
        <v>50.658605389346683</v>
      </c>
      <c r="O36" s="66">
        <v>408.47173350874681</v>
      </c>
      <c r="P36" s="88">
        <v>55.91863353869671</v>
      </c>
      <c r="Q36" s="93">
        <v>256.47312444505667</v>
      </c>
      <c r="R36" s="65">
        <v>73.122241800462916</v>
      </c>
      <c r="S36" s="57" t="s">
        <v>279</v>
      </c>
      <c r="T36" s="100" t="s">
        <v>279</v>
      </c>
    </row>
    <row r="37" spans="1:20" x14ac:dyDescent="0.2">
      <c r="A37" s="34"/>
      <c r="B37" s="45" t="str">
        <f>VLOOKUP("&lt;Zeilentitel_7.3&gt;",Uebersetzungen!$B$3:$E$83,Uebersetzungen!$B$2+1,FALSE)</f>
        <v>Andere Selbstständige</v>
      </c>
      <c r="C37" s="132">
        <v>12242.053867118348</v>
      </c>
      <c r="D37" s="86">
        <v>10.034434969579337</v>
      </c>
      <c r="E37" s="57">
        <v>9481.8648115650376</v>
      </c>
      <c r="F37" s="62">
        <v>11.45582295409077</v>
      </c>
      <c r="G37" s="93">
        <v>914.79503399150724</v>
      </c>
      <c r="H37" s="88">
        <v>38.896182079561704</v>
      </c>
      <c r="I37" s="61" t="s">
        <v>279</v>
      </c>
      <c r="J37" s="86" t="s">
        <v>279</v>
      </c>
      <c r="K37" s="93">
        <v>530.08838555990724</v>
      </c>
      <c r="L37" s="65">
        <v>50.040380807667468</v>
      </c>
      <c r="M37" s="87">
        <v>1190.7628767547681</v>
      </c>
      <c r="N37" s="88">
        <v>33.851871450733505</v>
      </c>
      <c r="O37" s="61">
        <v>2379.3991877083636</v>
      </c>
      <c r="P37" s="86">
        <v>23.543640254280845</v>
      </c>
      <c r="Q37" s="93">
        <v>268.9340677655282</v>
      </c>
      <c r="R37" s="65">
        <v>69.833540077697862</v>
      </c>
      <c r="S37" s="93">
        <v>734.67499994646244</v>
      </c>
      <c r="T37" s="101">
        <v>43.520414548207448</v>
      </c>
    </row>
    <row r="38" spans="1:20" x14ac:dyDescent="0.2">
      <c r="A38" s="34"/>
      <c r="B38" s="45" t="str">
        <f>VLOOKUP("&lt;Zeilentitel_7.4&gt;",Uebersetzungen!$B$3:$E$83,Uebersetzungen!$B$2+1,FALSE)</f>
        <v>Akademische Berufe und oberes Kader</v>
      </c>
      <c r="C38" s="132">
        <v>16131.724467909726</v>
      </c>
      <c r="D38" s="86">
        <v>8.5165148068226362</v>
      </c>
      <c r="E38" s="57">
        <v>11393.1727650835</v>
      </c>
      <c r="F38" s="62">
        <v>10.247861431077261</v>
      </c>
      <c r="G38" s="57">
        <v>2777.0232414294137</v>
      </c>
      <c r="H38" s="86">
        <v>21.480874898880035</v>
      </c>
      <c r="I38" s="66">
        <v>392.77158105386115</v>
      </c>
      <c r="J38" s="88">
        <v>58.732175821050738</v>
      </c>
      <c r="K38" s="93">
        <v>862.93666312898074</v>
      </c>
      <c r="L38" s="65">
        <v>38.885492763579258</v>
      </c>
      <c r="M38" s="87">
        <v>1535.0959076018087</v>
      </c>
      <c r="N38" s="88">
        <v>29.324604883733215</v>
      </c>
      <c r="O38" s="61">
        <v>2425.8335951660733</v>
      </c>
      <c r="P38" s="86">
        <v>22.928298532135805</v>
      </c>
      <c r="Q38" s="87">
        <v>1168.1786331857168</v>
      </c>
      <c r="R38" s="65">
        <v>33.896849207261241</v>
      </c>
      <c r="S38" s="87">
        <v>1170.2626722443183</v>
      </c>
      <c r="T38" s="101">
        <v>33.274973617166417</v>
      </c>
    </row>
    <row r="39" spans="1:20" x14ac:dyDescent="0.2">
      <c r="A39" s="34"/>
      <c r="B39" s="45" t="str">
        <f>VLOOKUP("&lt;Zeilentitel_7.5&gt;",Uebersetzungen!$B$3:$E$83,Uebersetzungen!$B$2+1,FALSE)</f>
        <v>Intermediäre Berufe</v>
      </c>
      <c r="C39" s="132">
        <v>32353.683494224042</v>
      </c>
      <c r="D39" s="86">
        <v>5.7730507066936791</v>
      </c>
      <c r="E39" s="57">
        <v>22503.364526250665</v>
      </c>
      <c r="F39" s="62">
        <v>7.067982333226384</v>
      </c>
      <c r="G39" s="57">
        <v>4805.80588668775</v>
      </c>
      <c r="H39" s="86">
        <v>16.640939211349895</v>
      </c>
      <c r="I39" s="66">
        <v>183.47301319321315</v>
      </c>
      <c r="J39" s="88">
        <v>87.097740435415886</v>
      </c>
      <c r="K39" s="87">
        <v>1044.5365337300293</v>
      </c>
      <c r="L39" s="65">
        <v>34.326748633570482</v>
      </c>
      <c r="M39" s="57">
        <v>3395.5884853655721</v>
      </c>
      <c r="N39" s="86">
        <v>19.628189338232715</v>
      </c>
      <c r="O39" s="61">
        <v>4170.6079854349728</v>
      </c>
      <c r="P39" s="86">
        <v>17.363019131672594</v>
      </c>
      <c r="Q39" s="87">
        <v>1321.2011175408513</v>
      </c>
      <c r="R39" s="65">
        <v>33.399430731333943</v>
      </c>
      <c r="S39" s="57">
        <v>5500.9551163201577</v>
      </c>
      <c r="T39" s="100">
        <v>15.92268622854681</v>
      </c>
    </row>
    <row r="40" spans="1:20" x14ac:dyDescent="0.2">
      <c r="A40" s="34"/>
      <c r="B40" s="45" t="str">
        <f>VLOOKUP("&lt;Zeilentitel_7.6&gt;",Uebersetzungen!$B$3:$E$83,Uebersetzungen!$B$2+1,FALSE)</f>
        <v>Qualifizierte nichtmanuelle Berufe</v>
      </c>
      <c r="C40" s="132">
        <v>19713.229261553559</v>
      </c>
      <c r="D40" s="86">
        <v>7.7075461590373964</v>
      </c>
      <c r="E40" s="57">
        <v>14075.185333770278</v>
      </c>
      <c r="F40" s="62">
        <v>9.1929719116138031</v>
      </c>
      <c r="G40" s="87">
        <v>1792.5457726272896</v>
      </c>
      <c r="H40" s="88">
        <v>28.13905428794159</v>
      </c>
      <c r="I40" s="61" t="s">
        <v>279</v>
      </c>
      <c r="J40" s="86" t="s">
        <v>279</v>
      </c>
      <c r="K40" s="87">
        <v>1095.666808162827</v>
      </c>
      <c r="L40" s="65">
        <v>34.217160365638875</v>
      </c>
      <c r="M40" s="87">
        <v>1713.9431960303968</v>
      </c>
      <c r="N40" s="88">
        <v>28.008759318187614</v>
      </c>
      <c r="O40" s="61">
        <v>2772.259621827975</v>
      </c>
      <c r="P40" s="86">
        <v>21.263506032304996</v>
      </c>
      <c r="Q40" s="93">
        <v>634.06467251266474</v>
      </c>
      <c r="R40" s="65">
        <v>49.448225356390878</v>
      </c>
      <c r="S40" s="57">
        <v>2961.6615673518272</v>
      </c>
      <c r="T40" s="100">
        <v>21.899226895926351</v>
      </c>
    </row>
    <row r="41" spans="1:20" x14ac:dyDescent="0.2">
      <c r="A41" s="34"/>
      <c r="B41" s="45" t="str">
        <f>VLOOKUP("&lt;Zeilentitel_7.7&gt;",Uebersetzungen!$B$3:$E$83,Uebersetzungen!$B$2+1,FALSE)</f>
        <v>Qualifizierte manuelle Berufe</v>
      </c>
      <c r="C41" s="132">
        <v>10072.445541539711</v>
      </c>
      <c r="D41" s="86">
        <v>11.59324813236014</v>
      </c>
      <c r="E41" s="57">
        <v>6811.9832130262712</v>
      </c>
      <c r="F41" s="62">
        <v>14.148541602086375</v>
      </c>
      <c r="G41" s="93">
        <v>922.57327468373558</v>
      </c>
      <c r="H41" s="88">
        <v>41.182513146720154</v>
      </c>
      <c r="I41" s="61" t="s">
        <v>279</v>
      </c>
      <c r="J41" s="86" t="s">
        <v>279</v>
      </c>
      <c r="K41" s="93">
        <v>401.7451005352579</v>
      </c>
      <c r="L41" s="65">
        <v>58.306154469665564</v>
      </c>
      <c r="M41" s="87">
        <v>1160.3324038282392</v>
      </c>
      <c r="N41" s="88">
        <v>35.441169921921983</v>
      </c>
      <c r="O41" s="64">
        <v>1256.9974560863266</v>
      </c>
      <c r="P41" s="88">
        <v>33.748813911430268</v>
      </c>
      <c r="Q41" s="57" t="s">
        <v>279</v>
      </c>
      <c r="R41" s="62" t="s">
        <v>279</v>
      </c>
      <c r="S41" s="87">
        <v>1941.182600095894</v>
      </c>
      <c r="T41" s="101">
        <v>28.198331999495753</v>
      </c>
    </row>
    <row r="42" spans="1:20" x14ac:dyDescent="0.2">
      <c r="A42" s="34"/>
      <c r="B42" s="45" t="str">
        <f>VLOOKUP("&lt;Zeilentitel_7.8&gt;",Uebersetzungen!$B$3:$E$83,Uebersetzungen!$B$2+1,FALSE)</f>
        <v>Ungelernte Angestellte und Arbeiter</v>
      </c>
      <c r="C42" s="132">
        <v>6821.9592610729978</v>
      </c>
      <c r="D42" s="86">
        <v>14.072757841029523</v>
      </c>
      <c r="E42" s="57">
        <v>2238.8356834631868</v>
      </c>
      <c r="F42" s="62">
        <v>24.264477213927815</v>
      </c>
      <c r="G42" s="93">
        <v>395.38488315026547</v>
      </c>
      <c r="H42" s="88">
        <v>58.788390578596086</v>
      </c>
      <c r="I42" s="61" t="s">
        <v>279</v>
      </c>
      <c r="J42" s="86" t="s">
        <v>279</v>
      </c>
      <c r="K42" s="57" t="s">
        <v>279</v>
      </c>
      <c r="L42" s="62" t="s">
        <v>279</v>
      </c>
      <c r="M42" s="87">
        <v>1370.3947817628111</v>
      </c>
      <c r="N42" s="88">
        <v>31.562297281750244</v>
      </c>
      <c r="O42" s="66">
        <v>431.21949847117935</v>
      </c>
      <c r="P42" s="88">
        <v>56.162912213491339</v>
      </c>
      <c r="Q42" s="57" t="s">
        <v>279</v>
      </c>
      <c r="R42" s="62" t="s">
        <v>279</v>
      </c>
      <c r="S42" s="57">
        <v>3552.1954232767971</v>
      </c>
      <c r="T42" s="100">
        <v>19.996684673685429</v>
      </c>
    </row>
    <row r="43" spans="1:20" ht="25.5" customHeight="1" x14ac:dyDescent="0.2">
      <c r="A43" s="34"/>
      <c r="B43" s="45" t="str">
        <f>VLOOKUP("&lt;Zeilentitel_7.9&gt;",Uebersetzungen!$B$3:$E$83,Uebersetzungen!$B$2+1,FALSE)</f>
        <v>Lernende in dualer beruflicher Grundbildung (Lehrlinge)</v>
      </c>
      <c r="C43" s="132">
        <v>2736.194236532895</v>
      </c>
      <c r="D43" s="86">
        <v>22.595748930549551</v>
      </c>
      <c r="E43" s="57">
        <v>1904.5084492630112</v>
      </c>
      <c r="F43" s="62">
        <v>26.792620851814441</v>
      </c>
      <c r="G43" s="93">
        <v>492.77732963930453</v>
      </c>
      <c r="H43" s="88">
        <v>53.85710127175696</v>
      </c>
      <c r="I43" s="61" t="s">
        <v>279</v>
      </c>
      <c r="J43" s="86" t="s">
        <v>279</v>
      </c>
      <c r="K43" s="57" t="s">
        <v>279</v>
      </c>
      <c r="L43" s="62" t="s">
        <v>279</v>
      </c>
      <c r="M43" s="93">
        <v>181.5185497926627</v>
      </c>
      <c r="N43" s="88">
        <v>86.46625709379208</v>
      </c>
      <c r="O43" s="66">
        <v>452.36073119670067</v>
      </c>
      <c r="P43" s="88">
        <v>56.183307267471967</v>
      </c>
      <c r="Q43" s="93">
        <v>234.52531781107209</v>
      </c>
      <c r="R43" s="65">
        <v>79.656921762526892</v>
      </c>
      <c r="S43" s="93">
        <v>705.317186283414</v>
      </c>
      <c r="T43" s="101">
        <v>47.172566231609423</v>
      </c>
    </row>
    <row r="44" spans="1:20" ht="38.25" x14ac:dyDescent="0.2">
      <c r="A44" s="34"/>
      <c r="B44" s="45" t="str">
        <f>VLOOKUP("&lt;Zeilentitel_7.10&gt;",Uebersetzungen!$B$3:$E$83,Uebersetzungen!$B$2+1,FALSE)</f>
        <v>Nicht zuteilbare Erwerbstätige (fehlende oder unklare Basisdaten oder unplausible Kombination)</v>
      </c>
      <c r="C44" s="133">
        <v>1390.5786687626278</v>
      </c>
      <c r="D44" s="88">
        <v>32.063765901593513</v>
      </c>
      <c r="E44" s="93">
        <v>830.08525233952912</v>
      </c>
      <c r="F44" s="65">
        <v>40.524183774687465</v>
      </c>
      <c r="G44" s="93">
        <v>220.92055530605629</v>
      </c>
      <c r="H44" s="88">
        <v>79.03918504371326</v>
      </c>
      <c r="I44" s="61" t="s">
        <v>279</v>
      </c>
      <c r="J44" s="86" t="s">
        <v>279</v>
      </c>
      <c r="K44" s="57" t="s">
        <v>279</v>
      </c>
      <c r="L44" s="62" t="s">
        <v>279</v>
      </c>
      <c r="M44" s="57" t="s">
        <v>279</v>
      </c>
      <c r="N44" s="86" t="s">
        <v>279</v>
      </c>
      <c r="O44" s="66">
        <v>168.99631194305618</v>
      </c>
      <c r="P44" s="88">
        <v>86.740625575729894</v>
      </c>
      <c r="Q44" s="57" t="s">
        <v>279</v>
      </c>
      <c r="R44" s="62" t="s">
        <v>279</v>
      </c>
      <c r="S44" s="93">
        <v>584.21087033742447</v>
      </c>
      <c r="T44" s="101">
        <v>52.376187087336632</v>
      </c>
    </row>
    <row r="45" spans="1:20" x14ac:dyDescent="0.2">
      <c r="A45" s="34"/>
      <c r="B45" s="45" t="str">
        <f>VLOOKUP("&lt;Zeilentitel_7.11&gt;",Uebersetzungen!$B$3:$E$83,Uebersetzungen!$B$2+1,FALSE)</f>
        <v>Erwerbslose und Nichterwerbspersonen</v>
      </c>
      <c r="C45" s="132">
        <v>67650.862463051279</v>
      </c>
      <c r="D45" s="86">
        <v>3.4588483113999517</v>
      </c>
      <c r="E45" s="57">
        <v>46947.536861603796</v>
      </c>
      <c r="F45" s="62">
        <v>4.4851011634739244</v>
      </c>
      <c r="G45" s="57">
        <v>5739.1363159234925</v>
      </c>
      <c r="H45" s="86">
        <v>15.278756904345283</v>
      </c>
      <c r="I45" s="64">
        <v>1043.8334282924627</v>
      </c>
      <c r="J45" s="88">
        <v>35.324412561867888</v>
      </c>
      <c r="K45" s="57">
        <v>3981.8815211633405</v>
      </c>
      <c r="L45" s="62">
        <v>17.789186747752623</v>
      </c>
      <c r="M45" s="57">
        <v>6744.0782003035893</v>
      </c>
      <c r="N45" s="86">
        <v>13.736950275334966</v>
      </c>
      <c r="O45" s="61">
        <v>10582.375048444615</v>
      </c>
      <c r="P45" s="86">
        <v>10.663894760162025</v>
      </c>
      <c r="Q45" s="57">
        <v>2114.8021600248271</v>
      </c>
      <c r="R45" s="62">
        <v>25.692973883610545</v>
      </c>
      <c r="S45" s="57">
        <v>7496.9738988154068</v>
      </c>
      <c r="T45" s="100">
        <v>13.881865301640016</v>
      </c>
    </row>
    <row r="46" spans="1:20" ht="12.75" customHeight="1" x14ac:dyDescent="0.2">
      <c r="A46" s="30" t="str">
        <f>VLOOKUP("&lt;Zeilentitel_8&gt;",Uebersetzungen!$B$3:$E$83,Uebersetzungen!$B$2+1,FALSE)</f>
        <v>Höchste abgeschlossene Ausbildung</v>
      </c>
      <c r="B46" s="43" t="str">
        <f>VLOOKUP("&lt;Zeilentitel_8.1&gt;",Uebersetzungen!$B$3:$E$83,Uebersetzungen!$B$2+1,FALSE)</f>
        <v>Ohne nachobligatorische Aubildung</v>
      </c>
      <c r="C46" s="146">
        <v>34830.749924816439</v>
      </c>
      <c r="D46" s="106">
        <v>5.6363231755720467</v>
      </c>
      <c r="E46" s="105">
        <v>17524.240921861488</v>
      </c>
      <c r="F46" s="109">
        <v>8.2785937666699159</v>
      </c>
      <c r="G46" s="105">
        <v>2869.4892765844324</v>
      </c>
      <c r="H46" s="106">
        <v>22.374629831676543</v>
      </c>
      <c r="I46" s="120">
        <v>355.59052413967504</v>
      </c>
      <c r="J46" s="121">
        <v>61.23992026564796</v>
      </c>
      <c r="K46" s="105">
        <v>1759.5205922799012</v>
      </c>
      <c r="L46" s="109">
        <v>27.002661868180123</v>
      </c>
      <c r="M46" s="105">
        <v>5792.9355030240267</v>
      </c>
      <c r="N46" s="106">
        <v>15.090588857900416</v>
      </c>
      <c r="O46" s="110">
        <v>4680.4786457510545</v>
      </c>
      <c r="P46" s="106">
        <v>16.536892159056258</v>
      </c>
      <c r="Q46" s="125">
        <v>1369.0430471382635</v>
      </c>
      <c r="R46" s="123">
        <v>32.753601809376171</v>
      </c>
      <c r="S46" s="105">
        <v>10782.848491037474</v>
      </c>
      <c r="T46" s="111">
        <v>11.331123433621171</v>
      </c>
    </row>
    <row r="47" spans="1:20" x14ac:dyDescent="0.2">
      <c r="A47" s="34"/>
      <c r="B47" s="45" t="str">
        <f>VLOOKUP("&lt;Zeilentitel_8.2&gt;",Uebersetzungen!$B$3:$E$83,Uebersetzungen!$B$2+1,FALSE)</f>
        <v>Sekundarstufe II</v>
      </c>
      <c r="C47" s="132">
        <v>80390.820949427201</v>
      </c>
      <c r="D47" s="86">
        <v>3.0161514322530469</v>
      </c>
      <c r="E47" s="57">
        <v>58704.639287130725</v>
      </c>
      <c r="F47" s="62">
        <v>3.8640084015927072</v>
      </c>
      <c r="G47" s="57">
        <v>7321.9412482634289</v>
      </c>
      <c r="H47" s="86">
        <v>13.670567115023537</v>
      </c>
      <c r="I47" s="66">
        <v>583.94268291492392</v>
      </c>
      <c r="J47" s="88">
        <v>46.930130642265048</v>
      </c>
      <c r="K47" s="57">
        <v>4348.3678426981087</v>
      </c>
      <c r="L47" s="62">
        <v>17.076294718456086</v>
      </c>
      <c r="M47" s="57">
        <v>7530.9650668715185</v>
      </c>
      <c r="N47" s="86">
        <v>13.1562570371765</v>
      </c>
      <c r="O47" s="61">
        <v>12581.740278931135</v>
      </c>
      <c r="P47" s="86">
        <v>9.8136220015159505</v>
      </c>
      <c r="Q47" s="57">
        <v>2141.9898254092063</v>
      </c>
      <c r="R47" s="62">
        <v>25.901812680805758</v>
      </c>
      <c r="S47" s="57">
        <v>8521.7096253528671</v>
      </c>
      <c r="T47" s="100">
        <v>12.964891293731778</v>
      </c>
    </row>
    <row r="48" spans="1:20" ht="13.5" thickBot="1" x14ac:dyDescent="0.25">
      <c r="A48" s="35"/>
      <c r="B48" s="46" t="str">
        <f>VLOOKUP("&lt;Zeilentitel_8.3&gt;",Uebersetzungen!$B$3:$E$83,Uebersetzungen!$B$2+1,FALSE)</f>
        <v>Tertiärstufe</v>
      </c>
      <c r="C48" s="134">
        <v>59389.429125753471</v>
      </c>
      <c r="D48" s="89">
        <v>3.7837661322369573</v>
      </c>
      <c r="E48" s="58">
        <v>43601.593207094571</v>
      </c>
      <c r="F48" s="81">
        <v>4.6690245090267446</v>
      </c>
      <c r="G48" s="58">
        <v>8724.5707555421013</v>
      </c>
      <c r="H48" s="89">
        <v>11.999342400328336</v>
      </c>
      <c r="I48" s="136">
        <v>1093.8088442475121</v>
      </c>
      <c r="J48" s="140">
        <v>34.874824769350717</v>
      </c>
      <c r="K48" s="58">
        <v>2202.1594529283734</v>
      </c>
      <c r="L48" s="81">
        <v>23.783139631321941</v>
      </c>
      <c r="M48" s="58">
        <v>4892.4165886745104</v>
      </c>
      <c r="N48" s="89">
        <v>16.080526583874658</v>
      </c>
      <c r="O48" s="83">
        <v>8178.7938556336949</v>
      </c>
      <c r="P48" s="89">
        <v>12.212856546903447</v>
      </c>
      <c r="Q48" s="58">
        <v>2904.8013895144973</v>
      </c>
      <c r="R48" s="81">
        <v>21.68478544822846</v>
      </c>
      <c r="S48" s="58">
        <v>5856.5945795655243</v>
      </c>
      <c r="T48" s="145">
        <v>15.36694814915179</v>
      </c>
    </row>
    <row r="49" spans="1:20" x14ac:dyDescent="0.2">
      <c r="A49" s="25"/>
      <c r="B49" s="18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6"/>
      <c r="R49" s="27"/>
      <c r="S49" s="28"/>
      <c r="T49" s="27"/>
    </row>
    <row r="50" spans="1:20" x14ac:dyDescent="0.2">
      <c r="A50" s="13" t="str">
        <f>VLOOKUP("&lt;Legende_1&gt;",Uebersetzungen!$B$3:$E$72,Uebersetzungen!$B$2+1,FALSE)</f>
        <v>Die Befragten konnten mehrere Hauptsprachen nennen.</v>
      </c>
    </row>
    <row r="51" spans="1:20" x14ac:dyDescent="0.2">
      <c r="A51" s="13" t="str">
        <f>VLOOKUP("&lt;Legende_2&gt;",Uebersetzungen!$B$3:$E$72,Uebersetzungen!$B$2+1,FALSE)</f>
        <v>(): Extrapolation aufgrund von 49 oder weniger Beobachtungen. Die Resultate sind mit grosser Vorsicht zu interpretieren.</v>
      </c>
    </row>
    <row r="52" spans="1:20" x14ac:dyDescent="0.2">
      <c r="A52" s="13" t="str">
        <f>VLOOKUP("&lt;Legende_3&gt;",Uebersetzungen!$B$3:$E$72,Uebersetzungen!$B$2+1,FALSE)</f>
        <v>X: Extrapolation aufgrund von 4 oder weniger Beobachtungen. Die Resultate werden aus Gründen des Datenschutzes nicht publiziert.</v>
      </c>
    </row>
    <row r="53" spans="1:20" x14ac:dyDescent="0.2">
      <c r="A53" s="13" t="str">
        <f>VLOOKUP("&lt;Legende_4&gt;",Uebersetzungen!$B$3:$E$72,Uebersetzungen!$B$2+1,FALSE)</f>
        <v>Die Grundgesamtheit der Strukturerhebung enthält alle Personen der ständigen Wohnbevölkerung ab vollendetem 15. Altersjahr, die in Privathaushalten leben.</v>
      </c>
    </row>
    <row r="54" spans="1:20" x14ac:dyDescent="0.2">
      <c r="A54" s="41" t="str">
        <f>VLOOKUP("&lt;Legende_5&gt;",Uebersetzungen!$B$3:$E$72,Uebersetzungen!$B$2+1,FALSE)</f>
        <v>Aus der Grundgesamtheit ausgeschlossen wurden neben den Personen, die in Kollektivhaushalten leben, auch Diplomaten, internationale Funktionäre und deren Angehörige.</v>
      </c>
    </row>
    <row r="55" spans="1:20" x14ac:dyDescent="0.2">
      <c r="A55" s="7"/>
    </row>
    <row r="56" spans="1:20" x14ac:dyDescent="0.2">
      <c r="A56" s="7" t="str">
        <f>VLOOKUP("&lt;Quelle_1&gt;",Uebersetzungen!$B$3:$E$83,Uebersetzungen!$B$2+1,FALSE)</f>
        <v>Quelle: BFS (Strukturerhebung)</v>
      </c>
    </row>
    <row r="57" spans="1:20" x14ac:dyDescent="0.2">
      <c r="A57" s="6" t="str">
        <f>VLOOKUP("&lt;Aktualisierung&gt;",Uebersetzungen!$B$3:$E$83,Uebersetzungen!$B$2+1,FALSE)</f>
        <v>Letztmals aktualisiert am: 17.02.2025</v>
      </c>
    </row>
    <row r="58" spans="1:20" x14ac:dyDescent="0.2">
      <c r="B58" s="9"/>
      <c r="R58" s="9"/>
    </row>
    <row r="60" spans="1:20" x14ac:dyDescent="0.2">
      <c r="B60" s="10"/>
      <c r="R60" s="10"/>
    </row>
    <row r="61" spans="1:20" x14ac:dyDescent="0.2">
      <c r="R61" s="9"/>
      <c r="S61" s="9"/>
      <c r="T61" s="9"/>
    </row>
  </sheetData>
  <sheetProtection sheet="1" objects="1" scenarios="1"/>
  <mergeCells count="12">
    <mergeCell ref="O13:P13"/>
    <mergeCell ref="Q13:R13"/>
    <mergeCell ref="S13:T13"/>
    <mergeCell ref="A7:D7"/>
    <mergeCell ref="C12:T12"/>
    <mergeCell ref="B13:B14"/>
    <mergeCell ref="C13:D13"/>
    <mergeCell ref="E13:F13"/>
    <mergeCell ref="G13:H13"/>
    <mergeCell ref="I13:J13"/>
    <mergeCell ref="K13:L13"/>
    <mergeCell ref="M13:N13"/>
  </mergeCells>
  <pageMargins left="0.7" right="0.7" top="0.78740157499999996" bottom="0.78740157499999996" header="0.3" footer="0.3"/>
  <pageSetup paperSize="9" scale="32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43" workbookViewId="0">
      <selection activeCell="H72" sqref="H72"/>
    </sheetView>
  </sheetViews>
  <sheetFormatPr baseColWidth="10" defaultColWidth="11" defaultRowHeight="12.75" x14ac:dyDescent="0.2"/>
  <cols>
    <col min="1" max="1" width="7.5" style="20" bestFit="1" customWidth="1"/>
    <col min="2" max="2" width="15.5" style="20" bestFit="1" customWidth="1"/>
    <col min="3" max="3" width="40.875" style="20" bestFit="1" customWidth="1"/>
    <col min="4" max="4" width="41.625" style="20" bestFit="1" customWidth="1"/>
    <col min="5" max="5" width="41.125" style="20" bestFit="1" customWidth="1"/>
    <col min="6" max="16384" width="11" style="20"/>
  </cols>
  <sheetData>
    <row r="1" spans="1:6" x14ac:dyDescent="0.2">
      <c r="A1" s="14" t="s">
        <v>30</v>
      </c>
      <c r="B1" s="14" t="s">
        <v>31</v>
      </c>
      <c r="C1" s="14" t="s">
        <v>32</v>
      </c>
      <c r="D1" s="14" t="s">
        <v>33</v>
      </c>
      <c r="E1" s="14" t="s">
        <v>34</v>
      </c>
      <c r="F1" s="15"/>
    </row>
    <row r="2" spans="1:6" x14ac:dyDescent="0.2">
      <c r="A2" s="21" t="s">
        <v>35</v>
      </c>
      <c r="B2" s="22">
        <v>1</v>
      </c>
      <c r="C2" s="15"/>
      <c r="D2" s="15"/>
      <c r="E2" s="15"/>
      <c r="F2" s="15"/>
    </row>
    <row r="3" spans="1:6" x14ac:dyDescent="0.2">
      <c r="A3" s="21"/>
      <c r="B3" s="20" t="s">
        <v>37</v>
      </c>
      <c r="C3" s="16" t="s">
        <v>38</v>
      </c>
      <c r="D3" s="16" t="s">
        <v>39</v>
      </c>
      <c r="E3" s="16" t="s">
        <v>40</v>
      </c>
      <c r="F3" s="15"/>
    </row>
    <row r="4" spans="1:6" ht="25.5" x14ac:dyDescent="0.2">
      <c r="A4" s="21" t="s">
        <v>36</v>
      </c>
      <c r="B4" s="17" t="s">
        <v>41</v>
      </c>
      <c r="C4" s="17" t="s">
        <v>213</v>
      </c>
      <c r="D4" s="17" t="s">
        <v>214</v>
      </c>
      <c r="E4" s="17" t="s">
        <v>215</v>
      </c>
      <c r="F4" s="15"/>
    </row>
    <row r="5" spans="1:6" x14ac:dyDescent="0.2">
      <c r="A5" s="21"/>
      <c r="B5" s="20" t="s">
        <v>58</v>
      </c>
      <c r="C5" s="39" t="s">
        <v>134</v>
      </c>
      <c r="D5" s="39" t="s">
        <v>135</v>
      </c>
      <c r="E5" s="39" t="s">
        <v>136</v>
      </c>
      <c r="F5" s="15"/>
    </row>
    <row r="6" spans="1:6" x14ac:dyDescent="0.2">
      <c r="A6" s="21"/>
      <c r="B6" s="21"/>
      <c r="C6" s="21"/>
      <c r="D6" s="21"/>
      <c r="E6" s="21"/>
      <c r="F6" s="15"/>
    </row>
    <row r="7" spans="1:6" ht="14.25" customHeight="1" x14ac:dyDescent="0.2">
      <c r="A7" s="21" t="s">
        <v>60</v>
      </c>
      <c r="B7" s="20" t="s">
        <v>42</v>
      </c>
      <c r="C7" s="16" t="s">
        <v>216</v>
      </c>
      <c r="D7" s="16" t="s">
        <v>260</v>
      </c>
      <c r="E7" s="16" t="s">
        <v>217</v>
      </c>
      <c r="F7" s="15"/>
    </row>
    <row r="8" spans="1:6" x14ac:dyDescent="0.2">
      <c r="A8" s="21"/>
      <c r="B8" s="20" t="s">
        <v>43</v>
      </c>
      <c r="C8" s="20" t="s">
        <v>218</v>
      </c>
      <c r="D8" s="20" t="s">
        <v>219</v>
      </c>
      <c r="E8" s="20" t="s">
        <v>220</v>
      </c>
      <c r="F8" s="15"/>
    </row>
    <row r="9" spans="1:6" x14ac:dyDescent="0.2">
      <c r="A9" s="21"/>
      <c r="B9" s="20" t="s">
        <v>44</v>
      </c>
      <c r="C9" s="20" t="s">
        <v>221</v>
      </c>
      <c r="D9" s="20" t="s">
        <v>222</v>
      </c>
      <c r="E9" s="20" t="s">
        <v>223</v>
      </c>
      <c r="F9" s="15"/>
    </row>
    <row r="10" spans="1:6" x14ac:dyDescent="0.2">
      <c r="A10" s="21"/>
      <c r="B10" s="20" t="s">
        <v>114</v>
      </c>
      <c r="C10" s="16" t="s">
        <v>226</v>
      </c>
      <c r="D10" s="16" t="s">
        <v>225</v>
      </c>
      <c r="E10" s="16" t="s">
        <v>224</v>
      </c>
      <c r="F10" s="15"/>
    </row>
    <row r="11" spans="1:6" x14ac:dyDescent="0.2">
      <c r="A11" s="21"/>
      <c r="B11" s="20" t="s">
        <v>130</v>
      </c>
      <c r="C11" s="16" t="s">
        <v>227</v>
      </c>
      <c r="D11" s="16" t="s">
        <v>228</v>
      </c>
      <c r="E11" s="16" t="s">
        <v>229</v>
      </c>
      <c r="F11" s="15"/>
    </row>
    <row r="12" spans="1:6" x14ac:dyDescent="0.2">
      <c r="A12" s="21"/>
      <c r="B12" s="20" t="s">
        <v>131</v>
      </c>
      <c r="C12" s="16" t="s">
        <v>230</v>
      </c>
      <c r="D12" s="16" t="s">
        <v>234</v>
      </c>
      <c r="E12" s="16" t="s">
        <v>231</v>
      </c>
      <c r="F12" s="15"/>
    </row>
    <row r="13" spans="1:6" x14ac:dyDescent="0.2">
      <c r="A13" s="21"/>
      <c r="B13" s="20" t="s">
        <v>132</v>
      </c>
      <c r="C13" s="16" t="s">
        <v>235</v>
      </c>
      <c r="D13" s="16" t="s">
        <v>233</v>
      </c>
      <c r="E13" s="16" t="s">
        <v>232</v>
      </c>
      <c r="F13" s="15"/>
    </row>
    <row r="14" spans="1:6" x14ac:dyDescent="0.2">
      <c r="A14" s="21"/>
      <c r="B14" s="20" t="s">
        <v>133</v>
      </c>
      <c r="C14" s="16" t="s">
        <v>137</v>
      </c>
      <c r="D14" s="16" t="s">
        <v>145</v>
      </c>
      <c r="E14" s="16" t="s">
        <v>140</v>
      </c>
      <c r="F14" s="15"/>
    </row>
    <row r="15" spans="1:6" x14ac:dyDescent="0.2">
      <c r="A15" s="21"/>
      <c r="B15" s="20" t="s">
        <v>211</v>
      </c>
      <c r="C15" s="16" t="s">
        <v>138</v>
      </c>
      <c r="D15" s="16" t="s">
        <v>144</v>
      </c>
      <c r="E15" s="16" t="s">
        <v>141</v>
      </c>
      <c r="F15" s="15"/>
    </row>
    <row r="16" spans="1:6" x14ac:dyDescent="0.2">
      <c r="A16" s="21"/>
      <c r="B16" s="20" t="s">
        <v>212</v>
      </c>
      <c r="C16" s="16" t="s">
        <v>139</v>
      </c>
      <c r="D16" s="16" t="s">
        <v>143</v>
      </c>
      <c r="E16" s="16" t="s">
        <v>142</v>
      </c>
      <c r="F16" s="15"/>
    </row>
    <row r="17" spans="1:6" x14ac:dyDescent="0.2">
      <c r="A17" s="21"/>
      <c r="B17" s="21"/>
      <c r="C17" s="21"/>
      <c r="D17" s="21"/>
      <c r="E17" s="21"/>
      <c r="F17" s="21"/>
    </row>
    <row r="18" spans="1:6" x14ac:dyDescent="0.2">
      <c r="A18" s="21"/>
      <c r="B18" s="20" t="s">
        <v>64</v>
      </c>
      <c r="C18" s="16" t="s">
        <v>1</v>
      </c>
      <c r="D18" s="16" t="s">
        <v>112</v>
      </c>
      <c r="E18" s="16" t="s">
        <v>67</v>
      </c>
      <c r="F18" s="15"/>
    </row>
    <row r="19" spans="1:6" ht="25.5" x14ac:dyDescent="0.2">
      <c r="A19" s="21"/>
      <c r="B19" s="20" t="s">
        <v>65</v>
      </c>
      <c r="C19" s="16" t="s">
        <v>146</v>
      </c>
      <c r="D19" s="16" t="s">
        <v>147</v>
      </c>
      <c r="E19" s="16" t="s">
        <v>148</v>
      </c>
      <c r="F19" s="15"/>
    </row>
    <row r="20" spans="1:6" x14ac:dyDescent="0.2">
      <c r="A20" s="21"/>
      <c r="B20" s="15"/>
      <c r="C20" s="15"/>
      <c r="D20" s="15"/>
      <c r="E20" s="15"/>
      <c r="F20" s="15"/>
    </row>
    <row r="21" spans="1:6" x14ac:dyDescent="0.2">
      <c r="A21" s="21" t="s">
        <v>36</v>
      </c>
      <c r="B21" s="20" t="s">
        <v>45</v>
      </c>
      <c r="C21" s="16" t="s">
        <v>0</v>
      </c>
      <c r="D21" s="16" t="s">
        <v>0</v>
      </c>
      <c r="E21" s="16" t="s">
        <v>66</v>
      </c>
      <c r="F21" s="15"/>
    </row>
    <row r="22" spans="1:6" x14ac:dyDescent="0.2">
      <c r="A22" s="15"/>
      <c r="B22" s="20" t="s">
        <v>46</v>
      </c>
      <c r="C22" s="16" t="s">
        <v>6</v>
      </c>
      <c r="D22" s="16" t="s">
        <v>92</v>
      </c>
      <c r="E22" s="16" t="s">
        <v>69</v>
      </c>
      <c r="F22" s="15"/>
    </row>
    <row r="23" spans="1:6" x14ac:dyDescent="0.2">
      <c r="A23" s="15"/>
      <c r="B23" s="20" t="s">
        <v>47</v>
      </c>
      <c r="C23" s="16" t="s">
        <v>9</v>
      </c>
      <c r="D23" s="24" t="s">
        <v>93</v>
      </c>
      <c r="E23" s="16" t="s">
        <v>70</v>
      </c>
      <c r="F23" s="15"/>
    </row>
    <row r="24" spans="1:6" x14ac:dyDescent="0.2">
      <c r="A24" s="15"/>
      <c r="B24" s="20" t="s">
        <v>48</v>
      </c>
      <c r="C24" s="16" t="s">
        <v>115</v>
      </c>
      <c r="D24" s="16" t="s">
        <v>116</v>
      </c>
      <c r="E24" s="16" t="s">
        <v>117</v>
      </c>
      <c r="F24" s="15"/>
    </row>
    <row r="25" spans="1:6" x14ac:dyDescent="0.2">
      <c r="A25" s="15"/>
      <c r="B25" s="20" t="s">
        <v>49</v>
      </c>
      <c r="C25" s="20" t="s">
        <v>149</v>
      </c>
      <c r="D25" s="20" t="s">
        <v>151</v>
      </c>
      <c r="E25" s="20" t="s">
        <v>150</v>
      </c>
      <c r="F25" s="15"/>
    </row>
    <row r="26" spans="1:6" x14ac:dyDescent="0.2">
      <c r="A26" s="15"/>
      <c r="B26" s="20" t="s">
        <v>50</v>
      </c>
      <c r="C26" s="16" t="s">
        <v>10</v>
      </c>
      <c r="D26" s="16" t="s">
        <v>94</v>
      </c>
      <c r="E26" s="16" t="s">
        <v>118</v>
      </c>
      <c r="F26" s="15"/>
    </row>
    <row r="27" spans="1:6" x14ac:dyDescent="0.2">
      <c r="A27" s="15"/>
      <c r="B27" s="20" t="s">
        <v>51</v>
      </c>
      <c r="C27" s="16" t="s">
        <v>14</v>
      </c>
      <c r="D27" s="16" t="s">
        <v>95</v>
      </c>
      <c r="E27" s="16" t="s">
        <v>119</v>
      </c>
      <c r="F27" s="15"/>
    </row>
    <row r="28" spans="1:6" x14ac:dyDescent="0.2">
      <c r="A28" s="15"/>
      <c r="B28" s="20" t="s">
        <v>52</v>
      </c>
      <c r="C28" s="16" t="s">
        <v>26</v>
      </c>
      <c r="D28" s="16" t="s">
        <v>96</v>
      </c>
      <c r="E28" s="16" t="s">
        <v>120</v>
      </c>
      <c r="F28" s="15"/>
    </row>
    <row r="29" spans="1:6" x14ac:dyDescent="0.2">
      <c r="A29" s="15"/>
      <c r="B29" s="15"/>
      <c r="C29" s="15"/>
      <c r="D29" s="15"/>
      <c r="E29" s="15"/>
      <c r="F29" s="15"/>
    </row>
    <row r="30" spans="1:6" x14ac:dyDescent="0.2">
      <c r="A30" s="15"/>
      <c r="B30" s="20" t="s">
        <v>178</v>
      </c>
      <c r="C30" s="16" t="s">
        <v>7</v>
      </c>
      <c r="D30" s="16" t="s">
        <v>90</v>
      </c>
      <c r="E30" s="16" t="s">
        <v>71</v>
      </c>
      <c r="F30" s="15"/>
    </row>
    <row r="31" spans="1:6" x14ac:dyDescent="0.2">
      <c r="A31" s="15"/>
      <c r="B31" s="20" t="s">
        <v>179</v>
      </c>
      <c r="C31" s="16" t="s">
        <v>8</v>
      </c>
      <c r="D31" s="16" t="s">
        <v>91</v>
      </c>
      <c r="E31" s="16" t="s">
        <v>72</v>
      </c>
      <c r="F31" s="15"/>
    </row>
    <row r="32" spans="1:6" x14ac:dyDescent="0.2">
      <c r="A32" s="15"/>
      <c r="B32" s="20" t="s">
        <v>180</v>
      </c>
      <c r="C32" s="16" t="s">
        <v>121</v>
      </c>
      <c r="D32" s="16" t="s">
        <v>121</v>
      </c>
      <c r="E32" s="16" t="s">
        <v>121</v>
      </c>
      <c r="F32" s="15"/>
    </row>
    <row r="33" spans="1:6" x14ac:dyDescent="0.2">
      <c r="A33" s="15"/>
      <c r="B33" s="20" t="s">
        <v>181</v>
      </c>
      <c r="C33" s="16" t="s">
        <v>153</v>
      </c>
      <c r="D33" s="16" t="s">
        <v>153</v>
      </c>
      <c r="E33" s="16" t="s">
        <v>153</v>
      </c>
      <c r="F33" s="15"/>
    </row>
    <row r="34" spans="1:6" x14ac:dyDescent="0.2">
      <c r="A34" s="15"/>
      <c r="B34" s="20" t="s">
        <v>182</v>
      </c>
      <c r="C34" s="16" t="s">
        <v>152</v>
      </c>
      <c r="D34" s="16" t="s">
        <v>152</v>
      </c>
      <c r="E34" s="16" t="s">
        <v>152</v>
      </c>
      <c r="F34" s="15"/>
    </row>
    <row r="35" spans="1:6" x14ac:dyDescent="0.2">
      <c r="A35" s="15"/>
      <c r="B35" s="20" t="s">
        <v>183</v>
      </c>
      <c r="C35" s="16" t="s">
        <v>122</v>
      </c>
      <c r="D35" s="16" t="s">
        <v>123</v>
      </c>
      <c r="E35" s="16" t="s">
        <v>124</v>
      </c>
      <c r="F35" s="15"/>
    </row>
    <row r="36" spans="1:6" x14ac:dyDescent="0.2">
      <c r="A36" s="15"/>
      <c r="B36" s="20" t="s">
        <v>184</v>
      </c>
      <c r="C36" s="16" t="s">
        <v>127</v>
      </c>
      <c r="D36" s="16" t="s">
        <v>126</v>
      </c>
      <c r="E36" s="16" t="s">
        <v>125</v>
      </c>
      <c r="F36" s="15"/>
    </row>
    <row r="37" spans="1:6" x14ac:dyDescent="0.2">
      <c r="A37" s="15"/>
      <c r="B37" s="20" t="s">
        <v>185</v>
      </c>
      <c r="C37" s="16" t="s">
        <v>154</v>
      </c>
      <c r="D37" s="16" t="s">
        <v>158</v>
      </c>
      <c r="E37" s="16" t="s">
        <v>162</v>
      </c>
      <c r="F37" s="15"/>
    </row>
    <row r="38" spans="1:6" x14ac:dyDescent="0.2">
      <c r="A38" s="15"/>
      <c r="B38" s="20" t="s">
        <v>186</v>
      </c>
      <c r="C38" s="16" t="s">
        <v>155</v>
      </c>
      <c r="D38" s="16" t="s">
        <v>159</v>
      </c>
      <c r="E38" s="16" t="s">
        <v>163</v>
      </c>
      <c r="F38" s="15"/>
    </row>
    <row r="39" spans="1:6" x14ac:dyDescent="0.2">
      <c r="A39" s="15"/>
      <c r="B39" s="20" t="s">
        <v>187</v>
      </c>
      <c r="C39" s="16" t="s">
        <v>156</v>
      </c>
      <c r="D39" s="16" t="s">
        <v>160</v>
      </c>
      <c r="E39" s="16" t="s">
        <v>164</v>
      </c>
      <c r="F39" s="15"/>
    </row>
    <row r="40" spans="1:6" x14ac:dyDescent="0.2">
      <c r="A40" s="15"/>
      <c r="B40" s="20" t="s">
        <v>188</v>
      </c>
      <c r="C40" s="16" t="s">
        <v>157</v>
      </c>
      <c r="D40" s="16" t="s">
        <v>161</v>
      </c>
      <c r="E40" s="16" t="s">
        <v>165</v>
      </c>
      <c r="F40" s="15"/>
    </row>
    <row r="41" spans="1:6" x14ac:dyDescent="0.2">
      <c r="A41" s="15"/>
      <c r="B41" s="20" t="s">
        <v>189</v>
      </c>
      <c r="C41" s="16" t="s">
        <v>173</v>
      </c>
      <c r="D41" s="16" t="s">
        <v>261</v>
      </c>
      <c r="E41" s="16" t="s">
        <v>262</v>
      </c>
      <c r="F41" s="15"/>
    </row>
    <row r="42" spans="1:6" x14ac:dyDescent="0.2">
      <c r="A42" s="15"/>
      <c r="B42" s="20" t="s">
        <v>190</v>
      </c>
      <c r="C42" s="16" t="s">
        <v>174</v>
      </c>
      <c r="D42" s="16" t="s">
        <v>263</v>
      </c>
      <c r="E42" s="16" t="s">
        <v>264</v>
      </c>
      <c r="F42" s="15"/>
    </row>
    <row r="43" spans="1:6" x14ac:dyDescent="0.2">
      <c r="A43" s="15"/>
      <c r="B43" s="20" t="s">
        <v>191</v>
      </c>
      <c r="C43" s="16" t="s">
        <v>175</v>
      </c>
      <c r="D43" s="16" t="s">
        <v>265</v>
      </c>
      <c r="E43" s="16" t="s">
        <v>266</v>
      </c>
      <c r="F43" s="15"/>
    </row>
    <row r="44" spans="1:6" ht="25.5" x14ac:dyDescent="0.2">
      <c r="A44" s="15"/>
      <c r="B44" s="20" t="s">
        <v>192</v>
      </c>
      <c r="C44" s="16" t="s">
        <v>176</v>
      </c>
      <c r="D44" s="16" t="s">
        <v>267</v>
      </c>
      <c r="E44" s="16" t="s">
        <v>268</v>
      </c>
      <c r="F44" s="15"/>
    </row>
    <row r="45" spans="1:6" x14ac:dyDescent="0.2">
      <c r="A45" s="15"/>
      <c r="B45" s="20" t="s">
        <v>193</v>
      </c>
      <c r="C45" s="16" t="s">
        <v>177</v>
      </c>
      <c r="D45" s="16" t="s">
        <v>269</v>
      </c>
      <c r="E45" s="16" t="s">
        <v>270</v>
      </c>
      <c r="F45" s="15"/>
    </row>
    <row r="46" spans="1:6" ht="25.5" x14ac:dyDescent="0.2">
      <c r="A46" s="15"/>
      <c r="B46" s="20" t="s">
        <v>194</v>
      </c>
      <c r="C46" s="16" t="s">
        <v>236</v>
      </c>
      <c r="D46" s="16" t="s">
        <v>245</v>
      </c>
      <c r="E46" s="16" t="s">
        <v>241</v>
      </c>
      <c r="F46" s="15"/>
    </row>
    <row r="47" spans="1:6" ht="25.5" x14ac:dyDescent="0.2">
      <c r="A47" s="15"/>
      <c r="B47" s="20" t="s">
        <v>195</v>
      </c>
      <c r="C47" s="16" t="s">
        <v>237</v>
      </c>
      <c r="D47" s="16" t="s">
        <v>246</v>
      </c>
      <c r="E47" s="16" t="s">
        <v>242</v>
      </c>
      <c r="F47" s="15"/>
    </row>
    <row r="48" spans="1:6" ht="25.5" x14ac:dyDescent="0.2">
      <c r="A48" s="15"/>
      <c r="B48" s="20" t="s">
        <v>196</v>
      </c>
      <c r="C48" s="16" t="s">
        <v>238</v>
      </c>
      <c r="D48" s="16" t="s">
        <v>247</v>
      </c>
      <c r="E48" s="16" t="s">
        <v>243</v>
      </c>
      <c r="F48" s="15"/>
    </row>
    <row r="49" spans="1:6" ht="25.5" x14ac:dyDescent="0.2">
      <c r="A49" s="15"/>
      <c r="B49" s="20" t="s">
        <v>240</v>
      </c>
      <c r="C49" s="16" t="s">
        <v>239</v>
      </c>
      <c r="D49" s="16" t="s">
        <v>248</v>
      </c>
      <c r="E49" s="16" t="s">
        <v>244</v>
      </c>
      <c r="F49" s="15"/>
    </row>
    <row r="50" spans="1:6" x14ac:dyDescent="0.2">
      <c r="A50" s="15"/>
      <c r="B50" s="20" t="s">
        <v>197</v>
      </c>
      <c r="C50" s="16" t="s">
        <v>15</v>
      </c>
      <c r="D50" s="16" t="s">
        <v>109</v>
      </c>
      <c r="E50" s="16" t="s">
        <v>76</v>
      </c>
      <c r="F50" s="15"/>
    </row>
    <row r="51" spans="1:6" x14ac:dyDescent="0.2">
      <c r="A51" s="15"/>
      <c r="B51" s="20" t="s">
        <v>198</v>
      </c>
      <c r="C51" s="16" t="s">
        <v>16</v>
      </c>
      <c r="D51" s="16" t="s">
        <v>97</v>
      </c>
      <c r="E51" s="16" t="s">
        <v>77</v>
      </c>
      <c r="F51" s="15"/>
    </row>
    <row r="52" spans="1:6" x14ac:dyDescent="0.2">
      <c r="A52" s="15"/>
      <c r="B52" s="20" t="s">
        <v>199</v>
      </c>
      <c r="C52" s="16" t="s">
        <v>17</v>
      </c>
      <c r="D52" s="16" t="s">
        <v>98</v>
      </c>
      <c r="E52" s="16" t="s">
        <v>78</v>
      </c>
      <c r="F52" s="15"/>
    </row>
    <row r="53" spans="1:6" x14ac:dyDescent="0.2">
      <c r="A53" s="15"/>
      <c r="B53" s="20" t="s">
        <v>200</v>
      </c>
      <c r="C53" s="16" t="s">
        <v>18</v>
      </c>
      <c r="D53" s="16" t="s">
        <v>99</v>
      </c>
      <c r="E53" s="16" t="s">
        <v>79</v>
      </c>
      <c r="F53" s="15"/>
    </row>
    <row r="54" spans="1:6" x14ac:dyDescent="0.2">
      <c r="A54" s="15"/>
      <c r="B54" s="20" t="s">
        <v>201</v>
      </c>
      <c r="C54" s="16" t="s">
        <v>19</v>
      </c>
      <c r="D54" s="16" t="s">
        <v>100</v>
      </c>
      <c r="E54" s="16" t="s">
        <v>80</v>
      </c>
      <c r="F54" s="15"/>
    </row>
    <row r="55" spans="1:6" x14ac:dyDescent="0.2">
      <c r="A55" s="15"/>
      <c r="B55" s="20" t="s">
        <v>202</v>
      </c>
      <c r="C55" s="16" t="s">
        <v>20</v>
      </c>
      <c r="D55" s="16" t="s">
        <v>101</v>
      </c>
      <c r="E55" s="16" t="s">
        <v>81</v>
      </c>
      <c r="F55" s="15"/>
    </row>
    <row r="56" spans="1:6" x14ac:dyDescent="0.2">
      <c r="A56" s="15"/>
      <c r="B56" s="20" t="s">
        <v>203</v>
      </c>
      <c r="C56" s="16" t="s">
        <v>21</v>
      </c>
      <c r="D56" s="16" t="s">
        <v>102</v>
      </c>
      <c r="E56" s="16" t="s">
        <v>82</v>
      </c>
      <c r="F56" s="15"/>
    </row>
    <row r="57" spans="1:6" x14ac:dyDescent="0.2">
      <c r="A57" s="15"/>
      <c r="B57" s="20" t="s">
        <v>204</v>
      </c>
      <c r="C57" s="16" t="s">
        <v>22</v>
      </c>
      <c r="D57" s="16" t="s">
        <v>103</v>
      </c>
      <c r="E57" s="16" t="s">
        <v>83</v>
      </c>
      <c r="F57" s="15"/>
    </row>
    <row r="58" spans="1:6" ht="25.5" x14ac:dyDescent="0.2">
      <c r="A58" s="15"/>
      <c r="B58" s="20" t="s">
        <v>205</v>
      </c>
      <c r="C58" s="16" t="s">
        <v>23</v>
      </c>
      <c r="D58" s="16" t="s">
        <v>104</v>
      </c>
      <c r="E58" s="16" t="s">
        <v>84</v>
      </c>
      <c r="F58" s="15"/>
    </row>
    <row r="59" spans="1:6" ht="38.25" x14ac:dyDescent="0.2">
      <c r="A59" s="15"/>
      <c r="B59" s="20" t="s">
        <v>206</v>
      </c>
      <c r="C59" s="16" t="s">
        <v>24</v>
      </c>
      <c r="D59" s="16" t="s">
        <v>105</v>
      </c>
      <c r="E59" s="16" t="s">
        <v>85</v>
      </c>
      <c r="F59" s="15"/>
    </row>
    <row r="60" spans="1:6" ht="25.5" x14ac:dyDescent="0.2">
      <c r="A60" s="15"/>
      <c r="B60" s="20" t="s">
        <v>207</v>
      </c>
      <c r="C60" s="16" t="s">
        <v>25</v>
      </c>
      <c r="D60" s="16" t="s">
        <v>106</v>
      </c>
      <c r="E60" s="16" t="s">
        <v>86</v>
      </c>
      <c r="F60" s="15"/>
    </row>
    <row r="61" spans="1:6" x14ac:dyDescent="0.2">
      <c r="A61" s="15"/>
      <c r="B61" s="20" t="s">
        <v>208</v>
      </c>
      <c r="C61" s="16" t="s">
        <v>128</v>
      </c>
      <c r="D61" s="16" t="s">
        <v>129</v>
      </c>
      <c r="E61" s="16" t="s">
        <v>87</v>
      </c>
      <c r="F61" s="15"/>
    </row>
    <row r="62" spans="1:6" x14ac:dyDescent="0.2">
      <c r="A62" s="15"/>
      <c r="B62" s="20" t="s">
        <v>209</v>
      </c>
      <c r="C62" s="16" t="s">
        <v>27</v>
      </c>
      <c r="D62" s="16" t="s">
        <v>107</v>
      </c>
      <c r="E62" s="16" t="s">
        <v>88</v>
      </c>
      <c r="F62" s="15"/>
    </row>
    <row r="63" spans="1:6" x14ac:dyDescent="0.2">
      <c r="A63" s="15"/>
      <c r="B63" s="20" t="s">
        <v>210</v>
      </c>
      <c r="C63" s="16" t="s">
        <v>28</v>
      </c>
      <c r="D63" s="16" t="s">
        <v>108</v>
      </c>
      <c r="E63" s="16" t="s">
        <v>89</v>
      </c>
      <c r="F63" s="15"/>
    </row>
    <row r="64" spans="1:6" x14ac:dyDescent="0.2">
      <c r="A64" s="15"/>
      <c r="B64" s="15"/>
      <c r="C64" s="15"/>
      <c r="D64" s="15"/>
      <c r="E64" s="15"/>
      <c r="F64" s="15"/>
    </row>
    <row r="65" spans="1:6" ht="25.5" x14ac:dyDescent="0.2">
      <c r="A65" s="21"/>
      <c r="B65" s="20" t="s">
        <v>53</v>
      </c>
      <c r="C65" s="20" t="s">
        <v>167</v>
      </c>
      <c r="D65" s="20" t="s">
        <v>169</v>
      </c>
      <c r="E65" s="20" t="s">
        <v>168</v>
      </c>
      <c r="F65" s="15"/>
    </row>
    <row r="66" spans="1:6" x14ac:dyDescent="0.2">
      <c r="A66" s="15"/>
      <c r="B66" s="20" t="s">
        <v>54</v>
      </c>
      <c r="C66" s="37" t="s">
        <v>2</v>
      </c>
      <c r="D66" s="13" t="s">
        <v>271</v>
      </c>
      <c r="E66" s="13" t="s">
        <v>272</v>
      </c>
      <c r="F66" s="15"/>
    </row>
    <row r="67" spans="1:6" x14ac:dyDescent="0.2">
      <c r="A67" s="15"/>
      <c r="B67" s="20" t="s">
        <v>55</v>
      </c>
      <c r="C67" s="37" t="s">
        <v>3</v>
      </c>
      <c r="D67" s="13" t="s">
        <v>273</v>
      </c>
      <c r="E67" s="13" t="s">
        <v>274</v>
      </c>
      <c r="F67" s="15"/>
    </row>
    <row r="68" spans="1:6" x14ac:dyDescent="0.2">
      <c r="A68" s="15"/>
      <c r="B68" s="20" t="s">
        <v>56</v>
      </c>
      <c r="C68" s="37" t="s">
        <v>4</v>
      </c>
      <c r="D68" s="13" t="s">
        <v>275</v>
      </c>
      <c r="E68" s="13" t="s">
        <v>276</v>
      </c>
      <c r="F68" s="15"/>
    </row>
    <row r="69" spans="1:6" x14ac:dyDescent="0.2">
      <c r="A69" s="15"/>
      <c r="B69" s="20" t="s">
        <v>166</v>
      </c>
      <c r="C69" s="37" t="s">
        <v>5</v>
      </c>
      <c r="D69" s="13" t="s">
        <v>277</v>
      </c>
      <c r="E69" s="13" t="s">
        <v>278</v>
      </c>
      <c r="F69" s="15"/>
    </row>
    <row r="70" spans="1:6" x14ac:dyDescent="0.2">
      <c r="A70" s="15"/>
      <c r="B70" s="15"/>
      <c r="C70" s="15"/>
      <c r="D70" s="15"/>
      <c r="E70" s="15"/>
      <c r="F70" s="15"/>
    </row>
    <row r="71" spans="1:6" x14ac:dyDescent="0.2">
      <c r="A71" s="15" t="s">
        <v>60</v>
      </c>
      <c r="B71" s="20" t="s">
        <v>59</v>
      </c>
      <c r="C71" s="16" t="s">
        <v>29</v>
      </c>
      <c r="D71" s="16" t="s">
        <v>113</v>
      </c>
      <c r="E71" s="16" t="s">
        <v>68</v>
      </c>
      <c r="F71" s="15"/>
    </row>
    <row r="72" spans="1:6" x14ac:dyDescent="0.2">
      <c r="A72" s="15" t="s">
        <v>36</v>
      </c>
      <c r="B72" s="23" t="s">
        <v>57</v>
      </c>
      <c r="C72" s="19" t="s">
        <v>280</v>
      </c>
      <c r="D72" s="19" t="s">
        <v>281</v>
      </c>
      <c r="E72" s="19" t="s">
        <v>282</v>
      </c>
      <c r="F72" s="15"/>
    </row>
    <row r="73" spans="1:6" x14ac:dyDescent="0.2">
      <c r="A73" s="15"/>
      <c r="B73" s="15"/>
      <c r="C73" s="15"/>
      <c r="D73" s="15"/>
      <c r="E73" s="15"/>
      <c r="F73" s="15"/>
    </row>
    <row r="74" spans="1:6" x14ac:dyDescent="0.2">
      <c r="A74" s="21"/>
      <c r="B74" s="22"/>
      <c r="C74" s="15"/>
      <c r="D74" s="15"/>
      <c r="E74" s="15"/>
      <c r="F74" s="15"/>
    </row>
    <row r="75" spans="1:6" ht="25.5" x14ac:dyDescent="0.2">
      <c r="A75" s="21" t="s">
        <v>61</v>
      </c>
      <c r="B75" s="20" t="s">
        <v>62</v>
      </c>
      <c r="C75" s="17" t="s">
        <v>251</v>
      </c>
      <c r="D75" s="17" t="s">
        <v>252</v>
      </c>
      <c r="E75" s="17" t="s">
        <v>253</v>
      </c>
      <c r="F75" s="15"/>
    </row>
    <row r="76" spans="1:6" x14ac:dyDescent="0.2">
      <c r="A76" s="21"/>
      <c r="B76" s="20" t="s">
        <v>63</v>
      </c>
      <c r="C76" s="39" t="s">
        <v>134</v>
      </c>
      <c r="D76" s="39" t="s">
        <v>135</v>
      </c>
      <c r="E76" s="39" t="s">
        <v>136</v>
      </c>
      <c r="F76" s="15"/>
    </row>
    <row r="77" spans="1:6" x14ac:dyDescent="0.2">
      <c r="A77" s="21"/>
      <c r="B77" s="15"/>
      <c r="C77" s="15"/>
      <c r="D77" s="15"/>
      <c r="E77" s="15"/>
      <c r="F77" s="15"/>
    </row>
    <row r="78" spans="1:6" x14ac:dyDescent="0.2">
      <c r="A78" s="21"/>
      <c r="B78" s="20" t="s">
        <v>250</v>
      </c>
      <c r="C78" s="20" t="s">
        <v>249</v>
      </c>
      <c r="D78" s="20" t="s">
        <v>219</v>
      </c>
      <c r="E78" s="20" t="s">
        <v>220</v>
      </c>
      <c r="F78" s="15"/>
    </row>
    <row r="79" spans="1:6" x14ac:dyDescent="0.2">
      <c r="A79" s="21"/>
      <c r="B79" s="15"/>
      <c r="C79" s="15"/>
      <c r="D79" s="15"/>
      <c r="E79" s="15"/>
      <c r="F79" s="15"/>
    </row>
    <row r="80" spans="1:6" x14ac:dyDescent="0.2">
      <c r="A80" s="15"/>
      <c r="B80" s="20" t="s">
        <v>172</v>
      </c>
      <c r="C80" s="16" t="s">
        <v>11</v>
      </c>
      <c r="D80" s="16" t="s">
        <v>111</v>
      </c>
      <c r="E80" s="16" t="s">
        <v>73</v>
      </c>
      <c r="F80" s="15"/>
    </row>
    <row r="81" spans="1:6" x14ac:dyDescent="0.2">
      <c r="A81" s="15"/>
      <c r="B81" s="20" t="s">
        <v>171</v>
      </c>
      <c r="C81" s="16" t="s">
        <v>12</v>
      </c>
      <c r="D81" s="16" t="s">
        <v>110</v>
      </c>
      <c r="E81" s="16" t="s">
        <v>74</v>
      </c>
      <c r="F81" s="15"/>
    </row>
    <row r="82" spans="1:6" x14ac:dyDescent="0.2">
      <c r="A82" s="15"/>
      <c r="B82" s="20" t="s">
        <v>170</v>
      </c>
      <c r="C82" s="16" t="s">
        <v>13</v>
      </c>
      <c r="D82" s="16" t="s">
        <v>110</v>
      </c>
      <c r="E82" s="16" t="s">
        <v>75</v>
      </c>
      <c r="F82" s="15"/>
    </row>
    <row r="83" spans="1:6" x14ac:dyDescent="0.2">
      <c r="A83" s="15"/>
      <c r="B83" s="15"/>
      <c r="C83" s="15"/>
      <c r="D83" s="15"/>
      <c r="E83" s="15"/>
      <c r="F83" s="15"/>
    </row>
    <row r="84" spans="1:6" ht="25.5" x14ac:dyDescent="0.2">
      <c r="A84" s="21" t="s">
        <v>254</v>
      </c>
      <c r="B84" s="20" t="s">
        <v>255</v>
      </c>
      <c r="C84" s="17" t="s">
        <v>257</v>
      </c>
      <c r="D84" s="17" t="s">
        <v>259</v>
      </c>
      <c r="E84" s="17" t="s">
        <v>258</v>
      </c>
      <c r="F84" s="15"/>
    </row>
    <row r="85" spans="1:6" x14ac:dyDescent="0.2">
      <c r="A85" s="21"/>
      <c r="B85" s="20" t="s">
        <v>256</v>
      </c>
      <c r="C85" s="39" t="s">
        <v>134</v>
      </c>
      <c r="D85" s="39" t="s">
        <v>135</v>
      </c>
      <c r="E85" s="39" t="s">
        <v>136</v>
      </c>
      <c r="F85" s="15"/>
    </row>
    <row r="86" spans="1:6" x14ac:dyDescent="0.2">
      <c r="A86" s="21"/>
      <c r="B86" s="15"/>
      <c r="C86" s="15"/>
      <c r="D86" s="15"/>
      <c r="E86" s="15"/>
      <c r="F86" s="15"/>
    </row>
    <row r="87" spans="1:6" x14ac:dyDescent="0.2">
      <c r="A87" s="15"/>
      <c r="B87" s="15"/>
      <c r="C87" s="15"/>
      <c r="D87" s="15"/>
      <c r="E87" s="15"/>
      <c r="F87" s="1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1027</Benutzerdefinierte_x0020_ID>
    <Titel_RM xmlns="9d1f6504-c754-4527-a358-047ce8521f96">Enquista da structura da la populaziun – lingua a la lavur, en la scolaziun ed a chasa, 2023</Titel_RM>
    <Titel_DE xmlns="9d1f6504-c754-4527-a358-047ce8521f96">Strukturerhebung Bevölkerung - Sprachen bei der Arbeit, in Ausbildung und zu Hause, 2023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lingue parlate durante il lavoro, la formazione e a casa, 2023</Titel_IT>
  </documentManagement>
</p:properties>
</file>

<file path=customXml/itemProps1.xml><?xml version="1.0" encoding="utf-8"?>
<ds:datastoreItem xmlns:ds="http://schemas.openxmlformats.org/officeDocument/2006/customXml" ds:itemID="{55A6AA60-44DC-4099-8607-C4EDCA3975D9}"/>
</file>

<file path=customXml/itemProps2.xml><?xml version="1.0" encoding="utf-8"?>
<ds:datastoreItem xmlns:ds="http://schemas.openxmlformats.org/officeDocument/2006/customXml" ds:itemID="{4C49B0CB-AA19-4EA3-971D-4B0D15FA0341}"/>
</file>

<file path=customXml/itemProps3.xml><?xml version="1.0" encoding="utf-8"?>
<ds:datastoreItem xmlns:ds="http://schemas.openxmlformats.org/officeDocument/2006/customXml" ds:itemID="{2B2CE5F9-5CC3-42EB-A615-ACF5E9B5DA6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Arbeit</vt:lpstr>
      <vt:lpstr>Ausbildung</vt:lpstr>
      <vt:lpstr>zu Hause</vt:lpstr>
      <vt:lpstr>Uebersetzungen</vt:lpstr>
      <vt:lpstr>Arbeit!Druckbereich</vt:lpstr>
      <vt:lpstr>Ausbildung!Druckbereich</vt:lpstr>
      <vt:lpstr>'zu Hause'!Druckbereich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Sprache bei der Arbeit, in Ausbildung und zu Hause</dc:title>
  <dc:creator>Luzius.Stricker@awt.gr.ch</dc:creator>
  <cp:lastModifiedBy>Monstein Urs</cp:lastModifiedBy>
  <cp:lastPrinted>2018-12-06T18:35:59Z</cp:lastPrinted>
  <dcterms:created xsi:type="dcterms:W3CDTF">2012-06-17T15:40:31Z</dcterms:created>
  <dcterms:modified xsi:type="dcterms:W3CDTF">2025-02-17T09:58:29Z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0x01010095A83D2D9087C0499BBDDADFE9564913</vt:lpwstr>
  </property>
</Properties>
</file>